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esearch IT\Website\"/>
    </mc:Choice>
  </mc:AlternateContent>
  <bookViews>
    <workbookView xWindow="0" yWindow="0" windowWidth="25200" windowHeight="11385" activeTab="1"/>
  </bookViews>
  <sheets>
    <sheet name="Instructions" sheetId="3" r:id="rId1"/>
    <sheet name="Salary Cap Worksheet" sheetId="2" r:id="rId2"/>
  </sheets>
  <definedNames>
    <definedName name="AnnualSal" localSheetId="1">'Salary Cap Worksheet'!$D$15</definedName>
    <definedName name="Appt" localSheetId="1">'Salary Cap Worksheet'!$D$7</definedName>
    <definedName name="BaseSal" localSheetId="1">'Salary Cap Worksheet'!$D$8</definedName>
    <definedName name="CapRate" localSheetId="1">'Salary Cap Worksheet'!$E$15</definedName>
    <definedName name="EarnSal">'Salary Cap Worksheet'!$K$31</definedName>
    <definedName name="EarnSalCap">'Salary Cap Worksheet'!$K$32</definedName>
    <definedName name="EligPersMon">'Salary Cap Worksheet'!$K$27</definedName>
    <definedName name="EligSal">'Salary Cap Worksheet'!$K$25</definedName>
    <definedName name="EligSalCap">'Salary Cap Worksheet'!$K$26</definedName>
    <definedName name="GOAL">'Salary Cap Worksheet'!$K$40</definedName>
    <definedName name="GoalAmt">'Salary Cap Worksheet'!$H$40</definedName>
    <definedName name="GoalPercEff">'Salary Cap Worksheet'!$H$36</definedName>
    <definedName name="GoalPersMon">'Salary Cap Worksheet'!$H$38</definedName>
    <definedName name="MonthSal" localSheetId="1">'Salary Cap Worksheet'!$K$28</definedName>
    <definedName name="PayAnnSal">'Salary Cap Worksheet'!$D$22</definedName>
    <definedName name="PayPeriods" localSheetId="1">'Salary Cap Worksheet'!$D$27</definedName>
    <definedName name="PaySalCap">'Salary Cap Worksheet'!$D$23</definedName>
    <definedName name="_xlnm.Print_Area" localSheetId="1">'Salary Cap Worksheet'!$A$1:$L$117</definedName>
    <definedName name="SalaryCap" localSheetId="1">'Salary Cap Worksheet'!$D$17</definedName>
    <definedName name="SummerEff">'Salary Cap Worksheet'!$D$11</definedName>
  </definedNames>
  <calcPr calcId="152511"/>
</workbook>
</file>

<file path=xl/calcChain.xml><?xml version="1.0" encoding="utf-8"?>
<calcChain xmlns="http://schemas.openxmlformats.org/spreadsheetml/2006/main">
  <c r="G48" i="2" l="1"/>
  <c r="G46" i="2"/>
  <c r="B44" i="2" l="1"/>
  <c r="L2" i="3" l="1"/>
  <c r="A1" i="3"/>
  <c r="P4" i="2" l="1"/>
  <c r="P2" i="2"/>
  <c r="H80" i="2"/>
  <c r="J106" i="2" l="1"/>
  <c r="I106" i="2"/>
  <c r="H106" i="2"/>
  <c r="F106" i="2"/>
  <c r="E106" i="2"/>
  <c r="C106" i="2"/>
  <c r="J93" i="2"/>
  <c r="I93" i="2"/>
  <c r="H93" i="2"/>
  <c r="F93" i="2"/>
  <c r="E93" i="2"/>
  <c r="C93" i="2"/>
  <c r="J80" i="2"/>
  <c r="I80" i="2"/>
  <c r="F80" i="2"/>
  <c r="E80" i="2"/>
  <c r="C80" i="2"/>
  <c r="K40" i="2" l="1"/>
  <c r="E109" i="2"/>
  <c r="E97" i="2"/>
  <c r="F97" i="2" s="1"/>
  <c r="E88" i="2"/>
  <c r="J76" i="2" l="1"/>
  <c r="G76" i="2"/>
  <c r="G71" i="2"/>
  <c r="G75" i="2"/>
  <c r="G69" i="2"/>
  <c r="G74" i="2"/>
  <c r="G68" i="2"/>
  <c r="G73" i="2"/>
  <c r="D15" i="2"/>
  <c r="E17" i="2" s="1"/>
  <c r="D22" i="2" l="1"/>
  <c r="E15" i="2"/>
  <c r="D27" i="2"/>
  <c r="E107" i="2" l="1"/>
  <c r="E94" i="2"/>
  <c r="E96" i="2"/>
  <c r="E110" i="2"/>
  <c r="E90" i="2"/>
  <c r="K25" i="2"/>
  <c r="K31" i="2" s="1"/>
  <c r="E81" i="2"/>
  <c r="D19" i="2"/>
  <c r="D20" i="2" s="1"/>
  <c r="E66" i="2" l="1"/>
  <c r="E87" i="2"/>
  <c r="F110" i="2"/>
  <c r="E86" i="2"/>
  <c r="K27" i="2"/>
  <c r="D23" i="2"/>
  <c r="K28" i="2" l="1"/>
  <c r="K26" i="2"/>
  <c r="K32" i="2" s="1"/>
  <c r="K29" i="2"/>
  <c r="E101" i="2" l="1"/>
  <c r="E114" i="2" l="1"/>
  <c r="E116" i="2" s="1"/>
  <c r="E76" i="2" s="1"/>
  <c r="E100" i="2"/>
  <c r="E103" i="2"/>
  <c r="E89" i="2"/>
  <c r="E83" i="2"/>
  <c r="E68" i="2" s="1"/>
  <c r="E74" i="2" l="1"/>
  <c r="E113" i="2"/>
  <c r="E73" i="2" s="1"/>
  <c r="E115" i="2"/>
  <c r="E84" i="2"/>
  <c r="E69" i="2" s="1"/>
  <c r="E102" i="2"/>
  <c r="F102" i="2" s="1"/>
  <c r="H102" i="2" s="1"/>
  <c r="E99" i="2"/>
  <c r="E112" i="2"/>
  <c r="E71" i="2" s="1"/>
  <c r="F100" i="2"/>
  <c r="H100" i="2" s="1"/>
  <c r="J100" i="2"/>
  <c r="F89" i="2"/>
  <c r="H89" i="2" s="1"/>
  <c r="F113" i="2" l="1"/>
  <c r="H113" i="2" s="1"/>
  <c r="J113" i="2"/>
  <c r="E75" i="2"/>
  <c r="F90" i="2"/>
  <c r="F96" i="2"/>
  <c r="F84" i="2"/>
  <c r="F69" i="2" s="1"/>
  <c r="F115" i="2"/>
  <c r="F75" i="2" s="1"/>
  <c r="F101" i="2"/>
  <c r="F114" i="2"/>
  <c r="F87" i="2"/>
  <c r="J87" i="2"/>
  <c r="F73" i="2" l="1"/>
  <c r="H87" i="2"/>
  <c r="H83" i="2" s="1"/>
  <c r="H86" i="2" s="1"/>
  <c r="J73" i="2"/>
  <c r="H48" i="2"/>
  <c r="H46" i="2"/>
  <c r="H115" i="2"/>
  <c r="H75" i="2" s="1"/>
  <c r="F88" i="2"/>
  <c r="F86" i="2" s="1"/>
  <c r="H73" i="2"/>
  <c r="F109" i="2"/>
  <c r="F116" i="2"/>
  <c r="F76" i="2" s="1"/>
  <c r="H101" i="2"/>
  <c r="F103" i="2"/>
  <c r="H114" i="2"/>
  <c r="F83" i="2"/>
  <c r="F68" i="2" l="1"/>
  <c r="F74" i="2"/>
  <c r="F99" i="2"/>
  <c r="H109" i="2"/>
  <c r="H68" i="2" s="1"/>
  <c r="I114" i="2"/>
  <c r="F112" i="2"/>
  <c r="F71" i="2" s="1"/>
  <c r="H96" i="2"/>
  <c r="I101" i="2"/>
  <c r="H88" i="2"/>
  <c r="I88" i="2" s="1"/>
  <c r="H74" i="2" l="1"/>
  <c r="I109" i="2"/>
  <c r="I74" i="2"/>
  <c r="H112" i="2"/>
  <c r="I113" i="2"/>
  <c r="I96" i="2"/>
  <c r="I100" i="2"/>
  <c r="H99" i="2"/>
  <c r="I87" i="2"/>
  <c r="I83" i="2"/>
  <c r="H90" i="2"/>
  <c r="I73" i="2" l="1"/>
  <c r="H71" i="2"/>
  <c r="I68" i="2"/>
  <c r="I112" i="2"/>
  <c r="H116" i="2"/>
  <c r="H76" i="2" s="1"/>
  <c r="I86" i="2"/>
  <c r="I90" i="2" s="1"/>
  <c r="I89" i="2" s="1"/>
  <c r="J89" i="2" s="1"/>
  <c r="H103" i="2"/>
  <c r="I99" i="2"/>
  <c r="I71" i="2" l="1"/>
  <c r="I116" i="2"/>
  <c r="I76" i="2" s="1"/>
  <c r="I103" i="2"/>
  <c r="I115" i="2" l="1"/>
  <c r="I102" i="2"/>
  <c r="I75" i="2" l="1"/>
  <c r="J115" i="2"/>
  <c r="J102" i="2"/>
  <c r="J75" i="2" l="1"/>
</calcChain>
</file>

<file path=xl/sharedStrings.xml><?xml version="1.0" encoding="utf-8"?>
<sst xmlns="http://schemas.openxmlformats.org/spreadsheetml/2006/main" count="148" uniqueCount="78">
  <si>
    <t>Salary Cap Chart</t>
  </si>
  <si>
    <t>Salary Cap</t>
  </si>
  <si>
    <t>NIH Salary Cap Chart for Reference</t>
  </si>
  <si>
    <t>Annualized Salary:</t>
  </si>
  <si>
    <t>Appt Dollar Amt</t>
  </si>
  <si>
    <t># of Person Months</t>
  </si>
  <si>
    <t>Annual Difference:</t>
  </si>
  <si>
    <t>Effective Salary Cap for Appointment:</t>
  </si>
  <si>
    <t>Paid Effort % during the period</t>
  </si>
  <si>
    <t>Diff of Appt to Unrestricted funds*</t>
  </si>
  <si>
    <t>Project Dollar Amt</t>
  </si>
  <si>
    <t>12/23/2011 - 1/11/2014</t>
  </si>
  <si>
    <t>Annualized Salary for Payroll:</t>
  </si>
  <si>
    <t>Salary Cap for Payroll:</t>
  </si>
  <si>
    <t>Appt % on non-grant funds</t>
  </si>
  <si>
    <t>TIME PERIOD CALCULATIONS</t>
  </si>
  <si>
    <t>Total Monthly Salary Rate:</t>
  </si>
  <si>
    <t>Monthly Cap Amount:</t>
  </si>
  <si>
    <t>HIDE</t>
  </si>
  <si>
    <t>Award Issue Date^</t>
  </si>
  <si>
    <t>^ One Salary Cap applies per Notice of Award.
Please use the budget dates to determine which notice applies for the pay periods being compensated.</t>
  </si>
  <si>
    <t># of Pay Periods</t>
  </si>
  <si>
    <t>1/12/2014 - 1/10/2015</t>
  </si>
  <si>
    <t>1/11/2015 - 1/9/2016</t>
  </si>
  <si>
    <t>Accrual Rates</t>
  </si>
  <si>
    <t>OR</t>
  </si>
  <si>
    <t>AMT</t>
  </si>
  <si>
    <t>PERSMON</t>
  </si>
  <si>
    <t>PERCENT</t>
  </si>
  <si>
    <t>SPS Academic Calendar</t>
  </si>
  <si>
    <t>For reference:</t>
  </si>
  <si>
    <t>Instructions</t>
  </si>
  <si>
    <t>For Academic Year Pay Only</t>
  </si>
  <si>
    <t>1. Enter all blue fields (name, account, appointment, base salary, summer effort, salary cap and start/end dates)</t>
  </si>
  <si>
    <t>NOTE: People paid only on Special Payroll should always answer Yes.</t>
  </si>
  <si>
    <t>2. The start and end dates should match the dates on the PA and be within the same SPS Academic Calendar Year</t>
  </si>
  <si>
    <t>Reference:</t>
  </si>
  <si>
    <t>3. Grant charges for regular Academic Year pay cannot cross over into the summer months</t>
  </si>
  <si>
    <t>4. Choose one purple field (dollar amount, person months or percent effort) to use to determine salary cap</t>
  </si>
  <si>
    <t>For entry on SPS Salary Calculator</t>
  </si>
  <si>
    <t xml:space="preserve">Enter effort commitment (Percent Effort) for this time frame: </t>
  </si>
  <si>
    <t xml:space="preserve">Enter effort commitment (Person Months) for this time frame: </t>
  </si>
  <si>
    <t xml:space="preserve">Enter total amount to pay on grant in this time frame: </t>
  </si>
  <si>
    <r>
      <t xml:space="preserve">7. The Unrestricted funds must be paid on a non-grant account.  </t>
    </r>
    <r>
      <rPr>
        <i/>
        <sz val="12"/>
        <rFont val="Calibri"/>
        <family val="2"/>
        <scheme val="minor"/>
      </rPr>
      <t>This amount can be waived in the Summer months ONLY.</t>
    </r>
  </si>
  <si>
    <t xml:space="preserve">Pay Start Date: </t>
  </si>
  <si>
    <t xml:space="preserve">Pay End Date: </t>
  </si>
  <si>
    <t xml:space="preserve"># of Pay Periods: </t>
  </si>
  <si>
    <t xml:space="preserve">Salary Cap in Effect: </t>
  </si>
  <si>
    <r>
      <t>Is this Summer effort or will this be paid via a SPAR (</t>
    </r>
    <r>
      <rPr>
        <i/>
        <sz val="12"/>
        <color theme="1"/>
        <rFont val="Calibri"/>
        <family val="2"/>
        <scheme val="minor"/>
      </rPr>
      <t>5231-Special Payroll</t>
    </r>
    <r>
      <rPr>
        <sz val="12"/>
        <color theme="1"/>
        <rFont val="Calibri"/>
        <family val="2"/>
        <scheme val="minor"/>
      </rPr>
      <t xml:space="preserve">)?  </t>
    </r>
  </si>
  <si>
    <t xml:space="preserve">Annual Base Salary: </t>
  </si>
  <si>
    <t xml:space="preserve">Months in Appointment: </t>
  </si>
  <si>
    <t xml:space="preserve">Award Number (or KFS Acct): </t>
  </si>
  <si>
    <t xml:space="preserve">Employee Name: </t>
  </si>
  <si>
    <t xml:space="preserve">Total Eligible Salary for Time Period: </t>
  </si>
  <si>
    <t xml:space="preserve">Total Eligible Salary Cap for Time Period: </t>
  </si>
  <si>
    <t xml:space="preserve">Total Eligible Person Months for Time Period: </t>
  </si>
  <si>
    <t xml:space="preserve">Total Earned Salary for Time Period: </t>
  </si>
  <si>
    <t xml:space="preserve">Total Earned Salary Cap for Time Period: </t>
  </si>
  <si>
    <t>Choose one option:</t>
  </si>
  <si>
    <t>UConn HHS Salary Cap Calculator</t>
  </si>
  <si>
    <t>Appt % on HHS funds</t>
  </si>
  <si>
    <r>
      <rPr>
        <b/>
        <sz val="11"/>
        <rFont val="Calibri"/>
        <family val="2"/>
        <scheme val="minor"/>
      </rPr>
      <t xml:space="preserve">Commitment </t>
    </r>
    <r>
      <rPr>
        <sz val="11"/>
        <rFont val="Calibri"/>
        <family val="2"/>
        <scheme val="minor"/>
      </rPr>
      <t>to enter into ERC system</t>
    </r>
  </si>
  <si>
    <t>For SPS reference only:</t>
  </si>
  <si>
    <r>
      <t xml:space="preserve">Goal Effort </t>
    </r>
    <r>
      <rPr>
        <i/>
        <sz val="9"/>
        <rFont val="Calibri"/>
        <family val="2"/>
        <scheme val="minor"/>
      </rPr>
      <t>(dollars adjusted for earnings)</t>
    </r>
  </si>
  <si>
    <r>
      <rPr>
        <b/>
        <sz val="11"/>
        <rFont val="Calibri"/>
        <family val="2"/>
        <scheme val="minor"/>
      </rPr>
      <t xml:space="preserve">% of Activity
</t>
    </r>
    <r>
      <rPr>
        <sz val="11"/>
        <rFont val="Calibri"/>
        <family val="2"/>
        <scheme val="minor"/>
      </rPr>
      <t xml:space="preserve">on PA
</t>
    </r>
    <r>
      <rPr>
        <i/>
        <sz val="9"/>
        <rFont val="Calibri"/>
        <family val="2"/>
        <scheme val="minor"/>
      </rPr>
      <t>(reference only)</t>
    </r>
  </si>
  <si>
    <r>
      <rPr>
        <b/>
        <sz val="11"/>
        <color theme="1"/>
        <rFont val="Calibri"/>
        <family val="2"/>
        <scheme val="minor"/>
      </rPr>
      <t>Effective Effort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(based on actual salary charged)</t>
    </r>
  </si>
  <si>
    <t>% on HHS funds</t>
  </si>
  <si>
    <t>% on non-grant funds</t>
  </si>
  <si>
    <t>Amt on HHS (grant) funds</t>
  </si>
  <si>
    <t>Amt on non-grant (over cap) funds*</t>
  </si>
  <si>
    <t>*The Unrestricted (non-grant) funds amount can be waived in Summer months ONLY.</t>
  </si>
  <si>
    <t>5. Use the information in the ORANGE cells to complete the payroll paperwork</t>
  </si>
  <si>
    <t>* To pay via a Payroll Authorization (PA) for academic year pay, enter the percentages listed in ORANGE on the SPS Salary Calculator</t>
  </si>
  <si>
    <t>* To pay via a SPAR for Special Pay (Summer Salary or on-going), enter the dollar amounts listed in GREEN directly on the SPAR form</t>
  </si>
  <si>
    <t>1/10/2016 - 1/7/2017</t>
  </si>
  <si>
    <t>1/8/2017 - current</t>
  </si>
  <si>
    <t>1/1/2010 - 12/22/2011</t>
  </si>
  <si>
    <t>Version: 3/20/2017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</si>
</sst>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2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14" xfId="0" applyFont="1" applyBorder="1"/>
    <xf numFmtId="0" fontId="5" fillId="0" borderId="0" xfId="0" applyFont="1" applyAlignment="1">
      <alignment horizontal="right"/>
    </xf>
    <xf numFmtId="0" fontId="0" fillId="0" borderId="0" xfId="0" applyFont="1" applyFill="1"/>
    <xf numFmtId="0" fontId="0" fillId="0" borderId="9" xfId="0" applyFont="1" applyFill="1" applyBorder="1"/>
    <xf numFmtId="0" fontId="0" fillId="0" borderId="11" xfId="0" applyFont="1" applyFill="1" applyBorder="1"/>
    <xf numFmtId="0" fontId="0" fillId="0" borderId="13" xfId="0" applyFont="1" applyFill="1" applyBorder="1"/>
    <xf numFmtId="0" fontId="2" fillId="0" borderId="0" xfId="0" applyFont="1"/>
    <xf numFmtId="0" fontId="2" fillId="0" borderId="0" xfId="0" applyFont="1" applyBorder="1"/>
    <xf numFmtId="0" fontId="10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165" fontId="12" fillId="3" borderId="19" xfId="6" applyNumberFormat="1" applyFont="1" applyFill="1" applyBorder="1" applyAlignment="1">
      <alignment horizontal="right"/>
    </xf>
    <xf numFmtId="5" fontId="12" fillId="3" borderId="19" xfId="1" applyNumberFormat="1" applyFont="1" applyFill="1" applyBorder="1" applyAlignment="1">
      <alignment horizontal="right"/>
    </xf>
    <xf numFmtId="0" fontId="12" fillId="3" borderId="19" xfId="0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right"/>
    </xf>
    <xf numFmtId="5" fontId="14" fillId="0" borderId="1" xfId="1" applyNumberFormat="1" applyFont="1" applyBorder="1" applyAlignment="1">
      <alignment horizontal="right"/>
    </xf>
    <xf numFmtId="10" fontId="15" fillId="0" borderId="0" xfId="7" applyNumberFormat="1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Alignment="1">
      <alignment horizontal="right"/>
    </xf>
    <xf numFmtId="5" fontId="17" fillId="0" borderId="1" xfId="1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2" fillId="0" borderId="0" xfId="0" applyFont="1" applyBorder="1"/>
    <xf numFmtId="10" fontId="12" fillId="0" borderId="0" xfId="7" applyNumberFormat="1" applyFont="1"/>
    <xf numFmtId="0" fontId="12" fillId="0" borderId="31" xfId="0" applyFont="1" applyBorder="1" applyAlignment="1">
      <alignment vertical="center" wrapText="1"/>
    </xf>
    <xf numFmtId="0" fontId="12" fillId="0" borderId="36" xfId="0" applyFont="1" applyBorder="1"/>
    <xf numFmtId="0" fontId="18" fillId="0" borderId="0" xfId="0" applyFont="1" applyBorder="1" applyAlignment="1">
      <alignment horizontal="right"/>
    </xf>
    <xf numFmtId="14" fontId="12" fillId="3" borderId="19" xfId="0" applyNumberFormat="1" applyFont="1" applyFill="1" applyBorder="1" applyAlignment="1">
      <alignment horizontal="center"/>
    </xf>
    <xf numFmtId="0" fontId="18" fillId="0" borderId="0" xfId="3" applyFont="1" applyBorder="1" applyAlignment="1">
      <alignment wrapText="1"/>
    </xf>
    <xf numFmtId="0" fontId="18" fillId="0" borderId="0" xfId="3" applyFont="1" applyBorder="1" applyAlignment="1">
      <alignment horizontal="right"/>
    </xf>
    <xf numFmtId="7" fontId="18" fillId="0" borderId="1" xfId="0" applyNumberFormat="1" applyFont="1" applyFill="1" applyBorder="1"/>
    <xf numFmtId="43" fontId="12" fillId="0" borderId="18" xfId="6" applyFont="1" applyFill="1" applyBorder="1"/>
    <xf numFmtId="43" fontId="12" fillId="0" borderId="0" xfId="6" applyFont="1" applyFill="1" applyBorder="1"/>
    <xf numFmtId="43" fontId="12" fillId="0" borderId="0" xfId="6" applyFont="1" applyBorder="1"/>
    <xf numFmtId="0" fontId="18" fillId="0" borderId="0" xfId="3" applyFont="1"/>
    <xf numFmtId="0" fontId="12" fillId="0" borderId="8" xfId="0" applyFont="1" applyBorder="1"/>
    <xf numFmtId="0" fontId="12" fillId="0" borderId="8" xfId="0" applyFont="1" applyBorder="1" applyAlignment="1">
      <alignment wrapText="1"/>
    </xf>
    <xf numFmtId="10" fontId="18" fillId="0" borderId="8" xfId="7" applyNumberFormat="1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7" xfId="0" applyFont="1" applyBorder="1"/>
    <xf numFmtId="0" fontId="13" fillId="0" borderId="7" xfId="0" applyFont="1" applyBorder="1" applyAlignment="1">
      <alignment horizontal="right" wrapText="1"/>
    </xf>
    <xf numFmtId="0" fontId="12" fillId="0" borderId="7" xfId="0" applyFont="1" applyBorder="1" applyAlignment="1">
      <alignment horizontal="right"/>
    </xf>
    <xf numFmtId="0" fontId="14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3" applyFont="1" applyBorder="1"/>
    <xf numFmtId="0" fontId="12" fillId="0" borderId="32" xfId="0" applyFont="1" applyFill="1" applyBorder="1" applyAlignment="1"/>
    <xf numFmtId="0" fontId="12" fillId="0" borderId="24" xfId="0" applyFont="1" applyFill="1" applyBorder="1" applyAlignment="1">
      <alignment wrapText="1"/>
    </xf>
    <xf numFmtId="0" fontId="18" fillId="0" borderId="1" xfId="3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8" fillId="0" borderId="2" xfId="3" applyFont="1" applyFill="1" applyBorder="1"/>
    <xf numFmtId="0" fontId="18" fillId="0" borderId="32" xfId="3" applyFont="1" applyFill="1" applyBorder="1" applyAlignment="1"/>
    <xf numFmtId="0" fontId="18" fillId="0" borderId="24" xfId="3" applyFont="1" applyFill="1" applyBorder="1" applyAlignment="1">
      <alignment wrapText="1"/>
    </xf>
    <xf numFmtId="10" fontId="14" fillId="0" borderId="1" xfId="7" applyNumberFormat="1" applyFont="1" applyFill="1" applyBorder="1" applyAlignment="1"/>
    <xf numFmtId="164" fontId="18" fillId="0" borderId="2" xfId="3" applyNumberFormat="1" applyFont="1" applyFill="1" applyBorder="1" applyAlignment="1"/>
    <xf numFmtId="0" fontId="18" fillId="0" borderId="32" xfId="0" applyFont="1" applyFill="1" applyBorder="1" applyAlignment="1"/>
    <xf numFmtId="0" fontId="18" fillId="0" borderId="24" xfId="0" applyFont="1" applyFill="1" applyBorder="1" applyAlignment="1">
      <alignment wrapText="1"/>
    </xf>
    <xf numFmtId="10" fontId="18" fillId="0" borderId="1" xfId="3" applyNumberFormat="1" applyFont="1" applyFill="1" applyBorder="1"/>
    <xf numFmtId="10" fontId="12" fillId="0" borderId="1" xfId="7" applyNumberFormat="1" applyFont="1" applyFill="1" applyBorder="1"/>
    <xf numFmtId="0" fontId="18" fillId="0" borderId="25" xfId="3" applyFont="1" applyFill="1" applyBorder="1" applyAlignment="1">
      <alignment wrapText="1"/>
    </xf>
    <xf numFmtId="7" fontId="12" fillId="0" borderId="1" xfId="0" applyNumberFormat="1" applyFont="1" applyFill="1" applyBorder="1"/>
    <xf numFmtId="0" fontId="10" fillId="0" borderId="32" xfId="3" applyFont="1" applyFill="1" applyBorder="1" applyAlignment="1"/>
    <xf numFmtId="0" fontId="10" fillId="0" borderId="25" xfId="3" applyFont="1" applyFill="1" applyBorder="1" applyAlignment="1">
      <alignment wrapText="1"/>
    </xf>
    <xf numFmtId="10" fontId="10" fillId="0" borderId="1" xfId="3" applyNumberFormat="1" applyFont="1" applyFill="1" applyBorder="1"/>
    <xf numFmtId="10" fontId="13" fillId="0" borderId="1" xfId="7" applyNumberFormat="1" applyFont="1" applyFill="1" applyBorder="1"/>
    <xf numFmtId="10" fontId="10" fillId="0" borderId="2" xfId="3" applyNumberFormat="1" applyFont="1" applyFill="1" applyBorder="1" applyAlignment="1"/>
    <xf numFmtId="7" fontId="18" fillId="0" borderId="2" xfId="3" applyNumberFormat="1" applyFont="1" applyFill="1" applyBorder="1" applyAlignment="1"/>
    <xf numFmtId="0" fontId="10" fillId="0" borderId="33" xfId="0" applyFont="1" applyFill="1" applyBorder="1" applyAlignment="1"/>
    <xf numFmtId="0" fontId="10" fillId="0" borderId="34" xfId="0" applyFont="1" applyFill="1" applyBorder="1" applyAlignment="1">
      <alignment wrapText="1"/>
    </xf>
    <xf numFmtId="10" fontId="10" fillId="0" borderId="30" xfId="3" applyNumberFormat="1" applyFont="1" applyFill="1" applyBorder="1"/>
    <xf numFmtId="10" fontId="13" fillId="0" borderId="30" xfId="7" applyNumberFormat="1" applyFont="1" applyFill="1" applyBorder="1"/>
    <xf numFmtId="10" fontId="10" fillId="0" borderId="3" xfId="7" applyNumberFormat="1" applyFont="1" applyFill="1" applyBorder="1" applyAlignment="1"/>
    <xf numFmtId="0" fontId="10" fillId="0" borderId="6" xfId="3" applyFont="1" applyFill="1" applyBorder="1" applyAlignment="1"/>
    <xf numFmtId="0" fontId="10" fillId="0" borderId="35" xfId="3" applyFont="1" applyFill="1" applyBorder="1" applyAlignment="1">
      <alignment wrapText="1"/>
    </xf>
    <xf numFmtId="7" fontId="12" fillId="0" borderId="29" xfId="3" applyNumberFormat="1" applyFont="1" applyFill="1" applyBorder="1"/>
    <xf numFmtId="44" fontId="18" fillId="0" borderId="29" xfId="1" applyFont="1" applyFill="1" applyBorder="1"/>
    <xf numFmtId="7" fontId="15" fillId="0" borderId="4" xfId="3" applyNumberFormat="1" applyFont="1" applyFill="1" applyBorder="1" applyAlignment="1"/>
    <xf numFmtId="0" fontId="10" fillId="6" borderId="27" xfId="3" applyFont="1" applyFill="1" applyBorder="1" applyAlignment="1">
      <alignment horizontal="center" wrapText="1"/>
    </xf>
    <xf numFmtId="0" fontId="18" fillId="6" borderId="27" xfId="3" applyFont="1" applyFill="1" applyBorder="1" applyAlignment="1">
      <alignment horizontal="center" wrapText="1"/>
    </xf>
    <xf numFmtId="0" fontId="12" fillId="6" borderId="27" xfId="0" applyFont="1" applyFill="1" applyBorder="1" applyAlignment="1">
      <alignment horizontal="center" wrapText="1"/>
    </xf>
    <xf numFmtId="0" fontId="10" fillId="6" borderId="28" xfId="3" applyFont="1" applyFill="1" applyBorder="1" applyAlignment="1">
      <alignment horizontal="center" wrapText="1"/>
    </xf>
    <xf numFmtId="43" fontId="12" fillId="0" borderId="1" xfId="6" applyFont="1" applyFill="1" applyBorder="1" applyAlignment="1"/>
    <xf numFmtId="0" fontId="10" fillId="0" borderId="1" xfId="3" applyFont="1" applyFill="1" applyBorder="1" applyAlignment="1">
      <alignment horizontal="center" wrapText="1"/>
    </xf>
    <xf numFmtId="10" fontId="12" fillId="0" borderId="1" xfId="7" applyNumberFormat="1" applyFont="1" applyFill="1" applyBorder="1" applyAlignment="1"/>
    <xf numFmtId="39" fontId="12" fillId="0" borderId="1" xfId="0" applyNumberFormat="1" applyFont="1" applyFill="1" applyBorder="1" applyAlignment="1"/>
    <xf numFmtId="10" fontId="20" fillId="0" borderId="1" xfId="0" applyNumberFormat="1" applyFont="1" applyFill="1" applyBorder="1" applyAlignment="1"/>
    <xf numFmtId="10" fontId="10" fillId="0" borderId="1" xfId="7" applyNumberFormat="1" applyFont="1" applyFill="1" applyBorder="1" applyAlignment="1"/>
    <xf numFmtId="10" fontId="10" fillId="4" borderId="1" xfId="7" applyNumberFormat="1" applyFont="1" applyFill="1" applyBorder="1" applyAlignment="1"/>
    <xf numFmtId="7" fontId="18" fillId="5" borderId="1" xfId="0" applyNumberFormat="1" applyFont="1" applyFill="1" applyBorder="1" applyAlignment="1"/>
    <xf numFmtId="7" fontId="18" fillId="0" borderId="1" xfId="0" applyNumberFormat="1" applyFont="1" applyFill="1" applyBorder="1" applyAlignment="1"/>
    <xf numFmtId="10" fontId="10" fillId="0" borderId="30" xfId="7" applyNumberFormat="1" applyFont="1" applyFill="1" applyBorder="1" applyAlignment="1"/>
    <xf numFmtId="10" fontId="10" fillId="4" borderId="30" xfId="0" applyNumberFormat="1" applyFont="1" applyFill="1" applyBorder="1" applyAlignment="1"/>
    <xf numFmtId="7" fontId="18" fillId="5" borderId="29" xfId="0" applyNumberFormat="1" applyFont="1" applyFill="1" applyBorder="1" applyAlignment="1"/>
    <xf numFmtId="7" fontId="18" fillId="0" borderId="29" xfId="0" applyNumberFormat="1" applyFont="1" applyFill="1" applyBorder="1" applyAlignment="1"/>
    <xf numFmtId="0" fontId="12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7" fontId="18" fillId="0" borderId="0" xfId="0" applyNumberFormat="1" applyFont="1" applyFill="1" applyBorder="1"/>
    <xf numFmtId="0" fontId="15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/>
    </xf>
    <xf numFmtId="0" fontId="19" fillId="0" borderId="0" xfId="2" applyFont="1" applyAlignment="1" applyProtection="1">
      <alignment vertical="center"/>
    </xf>
    <xf numFmtId="0" fontId="12" fillId="0" borderId="0" xfId="0" applyFont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3" fillId="0" borderId="0" xfId="0" applyFont="1"/>
    <xf numFmtId="0" fontId="13" fillId="0" borderId="0" xfId="0" applyFont="1" applyBorder="1"/>
    <xf numFmtId="7" fontId="18" fillId="0" borderId="18" xfId="0" applyNumberFormat="1" applyFont="1" applyFill="1" applyBorder="1"/>
    <xf numFmtId="0" fontId="15" fillId="0" borderId="0" xfId="3" applyFont="1" applyBorder="1" applyAlignment="1">
      <alignment wrapText="1"/>
    </xf>
    <xf numFmtId="0" fontId="15" fillId="0" borderId="0" xfId="3" applyFont="1" applyBorder="1" applyAlignment="1">
      <alignment horizontal="right"/>
    </xf>
    <xf numFmtId="7" fontId="15" fillId="0" borderId="0" xfId="0" applyNumberFormat="1" applyFont="1" applyFill="1" applyBorder="1"/>
    <xf numFmtId="0" fontId="24" fillId="0" borderId="0" xfId="0" applyFont="1" applyBorder="1"/>
    <xf numFmtId="0" fontId="15" fillId="0" borderId="0" xfId="0" applyFont="1" applyBorder="1" applyAlignment="1">
      <alignment horizontal="right"/>
    </xf>
    <xf numFmtId="43" fontId="15" fillId="0" borderId="0" xfId="6" applyFont="1" applyBorder="1"/>
    <xf numFmtId="0" fontId="3" fillId="0" borderId="0" xfId="0" applyFont="1" applyAlignment="1">
      <alignment vertical="center" wrapText="1"/>
    </xf>
    <xf numFmtId="0" fontId="0" fillId="2" borderId="23" xfId="0" applyFont="1" applyFill="1" applyBorder="1"/>
    <xf numFmtId="0" fontId="13" fillId="2" borderId="24" xfId="0" applyFont="1" applyFill="1" applyBorder="1" applyAlignment="1">
      <alignment horizontal="right" wrapText="1"/>
    </xf>
    <xf numFmtId="0" fontId="12" fillId="2" borderId="24" xfId="0" applyFont="1" applyFill="1" applyBorder="1" applyAlignment="1">
      <alignment horizontal="right"/>
    </xf>
    <xf numFmtId="0" fontId="12" fillId="2" borderId="24" xfId="0" applyFont="1" applyFill="1" applyBorder="1"/>
    <xf numFmtId="0" fontId="14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/>
    <xf numFmtId="0" fontId="0" fillId="0" borderId="50" xfId="0" applyFont="1" applyFill="1" applyBorder="1"/>
    <xf numFmtId="0" fontId="23" fillId="0" borderId="26" xfId="0" applyFont="1" applyBorder="1"/>
    <xf numFmtId="0" fontId="11" fillId="0" borderId="26" xfId="3" applyFont="1" applyBorder="1" applyAlignment="1">
      <alignment horizontal="left" vertical="center"/>
    </xf>
    <xf numFmtId="0" fontId="10" fillId="0" borderId="26" xfId="3" applyFont="1" applyBorder="1" applyAlignment="1">
      <alignment horizontal="left"/>
    </xf>
    <xf numFmtId="0" fontId="18" fillId="0" borderId="26" xfId="3" applyFont="1" applyBorder="1"/>
    <xf numFmtId="0" fontId="12" fillId="0" borderId="26" xfId="0" applyFont="1" applyBorder="1"/>
    <xf numFmtId="0" fontId="0" fillId="0" borderId="38" xfId="0" applyFont="1" applyBorder="1"/>
    <xf numFmtId="0" fontId="0" fillId="0" borderId="52" xfId="0" applyFont="1" applyFill="1" applyBorder="1"/>
    <xf numFmtId="0" fontId="0" fillId="0" borderId="53" xfId="0" applyFont="1" applyBorder="1"/>
    <xf numFmtId="0" fontId="2" fillId="0" borderId="52" xfId="0" applyFont="1" applyFill="1" applyBorder="1"/>
    <xf numFmtId="0" fontId="2" fillId="0" borderId="53" xfId="0" applyFont="1" applyBorder="1"/>
    <xf numFmtId="0" fontId="12" fillId="0" borderId="16" xfId="0" applyFont="1" applyBorder="1"/>
    <xf numFmtId="0" fontId="28" fillId="2" borderId="47" xfId="3" applyFont="1" applyFill="1" applyBorder="1" applyAlignment="1">
      <alignment horizontal="center" wrapText="1"/>
    </xf>
    <xf numFmtId="0" fontId="25" fillId="2" borderId="49" xfId="3" applyFont="1" applyFill="1" applyBorder="1" applyAlignment="1">
      <alignment horizontal="center" wrapText="1"/>
    </xf>
    <xf numFmtId="0" fontId="0" fillId="0" borderId="15" xfId="0" applyFont="1" applyFill="1" applyBorder="1" applyAlignment="1"/>
    <xf numFmtId="0" fontId="0" fillId="0" borderId="16" xfId="0" applyFont="1" applyFill="1" applyBorder="1" applyAlignment="1">
      <alignment wrapText="1"/>
    </xf>
    <xf numFmtId="43" fontId="0" fillId="0" borderId="15" xfId="6" applyFont="1" applyFill="1" applyBorder="1" applyAlignment="1"/>
    <xf numFmtId="0" fontId="25" fillId="0" borderId="18" xfId="3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25" fillId="0" borderId="18" xfId="3" applyFont="1" applyFill="1" applyBorder="1"/>
    <xf numFmtId="43" fontId="0" fillId="0" borderId="23" xfId="6" applyFont="1" applyFill="1" applyBorder="1" applyAlignment="1"/>
    <xf numFmtId="0" fontId="25" fillId="0" borderId="23" xfId="3" applyFont="1" applyFill="1" applyBorder="1" applyAlignment="1"/>
    <xf numFmtId="0" fontId="25" fillId="0" borderId="24" xfId="3" applyFont="1" applyFill="1" applyBorder="1" applyAlignment="1">
      <alignment wrapText="1"/>
    </xf>
    <xf numFmtId="10" fontId="0" fillId="0" borderId="23" xfId="7" applyNumberFormat="1" applyFont="1" applyFill="1" applyBorder="1" applyAlignment="1"/>
    <xf numFmtId="10" fontId="5" fillId="0" borderId="1" xfId="7" applyNumberFormat="1" applyFont="1" applyFill="1" applyBorder="1" applyAlignment="1"/>
    <xf numFmtId="164" fontId="25" fillId="0" borderId="1" xfId="3" applyNumberFormat="1" applyFont="1" applyFill="1" applyBorder="1" applyAlignment="1"/>
    <xf numFmtId="0" fontId="25" fillId="0" borderId="23" xfId="0" applyFont="1" applyFill="1" applyBorder="1" applyAlignment="1"/>
    <xf numFmtId="0" fontId="25" fillId="0" borderId="24" xfId="0" applyFont="1" applyFill="1" applyBorder="1" applyAlignment="1">
      <alignment wrapText="1"/>
    </xf>
    <xf numFmtId="10" fontId="25" fillId="0" borderId="1" xfId="3" applyNumberFormat="1" applyFont="1" applyFill="1" applyBorder="1"/>
    <xf numFmtId="10" fontId="0" fillId="0" borderId="1" xfId="7" applyNumberFormat="1" applyFont="1" applyFill="1" applyBorder="1"/>
    <xf numFmtId="0" fontId="25" fillId="0" borderId="25" xfId="3" applyFont="1" applyFill="1" applyBorder="1" applyAlignment="1">
      <alignment wrapText="1"/>
    </xf>
    <xf numFmtId="7" fontId="0" fillId="0" borderId="23" xfId="0" applyNumberFormat="1" applyFont="1" applyFill="1" applyBorder="1"/>
    <xf numFmtId="7" fontId="0" fillId="0" borderId="1" xfId="0" applyNumberFormat="1" applyFont="1" applyFill="1" applyBorder="1"/>
    <xf numFmtId="0" fontId="28" fillId="0" borderId="23" xfId="3" applyFont="1" applyFill="1" applyBorder="1" applyAlignment="1"/>
    <xf numFmtId="0" fontId="28" fillId="0" borderId="25" xfId="3" applyFont="1" applyFill="1" applyBorder="1" applyAlignment="1">
      <alignment wrapText="1"/>
    </xf>
    <xf numFmtId="10" fontId="28" fillId="0" borderId="23" xfId="7" applyNumberFormat="1" applyFont="1" applyFill="1" applyBorder="1" applyAlignment="1"/>
    <xf numFmtId="10" fontId="28" fillId="0" borderId="1" xfId="3" applyNumberFormat="1" applyFont="1" applyFill="1" applyBorder="1"/>
    <xf numFmtId="10" fontId="2" fillId="0" borderId="1" xfId="7" applyNumberFormat="1" applyFont="1" applyFill="1" applyBorder="1"/>
    <xf numFmtId="10" fontId="28" fillId="0" borderId="1" xfId="3" applyNumberFormat="1" applyFont="1" applyFill="1" applyBorder="1" applyAlignment="1"/>
    <xf numFmtId="7" fontId="25" fillId="0" borderId="23" xfId="0" applyNumberFormat="1" applyFont="1" applyFill="1" applyBorder="1" applyAlignment="1"/>
    <xf numFmtId="7" fontId="25" fillId="0" borderId="1" xfId="3" applyNumberFormat="1" applyFont="1" applyFill="1" applyBorder="1" applyAlignment="1"/>
    <xf numFmtId="0" fontId="0" fillId="2" borderId="49" xfId="0" applyFont="1" applyFill="1" applyBorder="1" applyAlignment="1">
      <alignment horizontal="center" wrapText="1"/>
    </xf>
    <xf numFmtId="5" fontId="0" fillId="0" borderId="45" xfId="1" applyNumberFormat="1" applyFont="1" applyBorder="1" applyAlignment="1">
      <alignment horizontal="center"/>
    </xf>
    <xf numFmtId="0" fontId="8" fillId="0" borderId="26" xfId="3" applyFont="1" applyBorder="1" applyAlignment="1"/>
    <xf numFmtId="0" fontId="28" fillId="0" borderId="26" xfId="3" applyFont="1" applyFill="1" applyBorder="1" applyAlignment="1">
      <alignment wrapText="1"/>
    </xf>
    <xf numFmtId="7" fontId="25" fillId="0" borderId="26" xfId="0" applyNumberFormat="1" applyFont="1" applyFill="1" applyBorder="1" applyAlignment="1"/>
    <xf numFmtId="7" fontId="25" fillId="0" borderId="26" xfId="0" applyNumberFormat="1" applyFont="1" applyFill="1" applyBorder="1" applyAlignment="1">
      <alignment horizontal="right"/>
    </xf>
    <xf numFmtId="7" fontId="0" fillId="0" borderId="26" xfId="3" applyNumberFormat="1" applyFont="1" applyFill="1" applyBorder="1"/>
    <xf numFmtId="44" fontId="25" fillId="0" borderId="26" xfId="1" applyFont="1" applyFill="1" applyBorder="1"/>
    <xf numFmtId="7" fontId="24" fillId="0" borderId="26" xfId="3" applyNumberFormat="1" applyFont="1" applyFill="1" applyBorder="1" applyAlignment="1"/>
    <xf numFmtId="0" fontId="5" fillId="0" borderId="0" xfId="0" applyFont="1" applyAlignment="1">
      <alignment horizontal="left" indent="1"/>
    </xf>
    <xf numFmtId="0" fontId="4" fillId="0" borderId="0" xfId="2" applyFont="1" applyAlignment="1" applyProtection="1">
      <alignment horizontal="left" indent="1"/>
    </xf>
    <xf numFmtId="0" fontId="22" fillId="0" borderId="0" xfId="0" applyFont="1" applyBorder="1" applyAlignment="1">
      <alignment horizontal="left" indent="1"/>
    </xf>
    <xf numFmtId="0" fontId="0" fillId="9" borderId="23" xfId="0" applyFont="1" applyFill="1" applyBorder="1" applyAlignment="1"/>
    <xf numFmtId="0" fontId="0" fillId="9" borderId="24" xfId="0" applyFont="1" applyFill="1" applyBorder="1" applyAlignment="1">
      <alignment wrapText="1"/>
    </xf>
    <xf numFmtId="43" fontId="0" fillId="9" borderId="24" xfId="6" applyFont="1" applyFill="1" applyBorder="1" applyAlignment="1"/>
    <xf numFmtId="0" fontId="25" fillId="9" borderId="24" xfId="3" applyFont="1" applyFill="1" applyBorder="1" applyAlignment="1">
      <alignment horizontal="center" wrapText="1"/>
    </xf>
    <xf numFmtId="0" fontId="0" fillId="9" borderId="24" xfId="0" applyFont="1" applyFill="1" applyBorder="1" applyAlignment="1">
      <alignment horizontal="center" wrapText="1"/>
    </xf>
    <xf numFmtId="0" fontId="25" fillId="9" borderId="25" xfId="3" applyFont="1" applyFill="1" applyBorder="1"/>
    <xf numFmtId="0" fontId="28" fillId="0" borderId="23" xfId="0" applyFont="1" applyFill="1" applyBorder="1" applyAlignment="1"/>
    <xf numFmtId="0" fontId="28" fillId="0" borderId="25" xfId="0" applyFont="1" applyFill="1" applyBorder="1" applyAlignment="1">
      <alignment wrapText="1"/>
    </xf>
    <xf numFmtId="10" fontId="28" fillId="0" borderId="1" xfId="7" applyNumberFormat="1" applyFont="1" applyFill="1" applyBorder="1" applyAlignment="1"/>
    <xf numFmtId="7" fontId="0" fillId="0" borderId="1" xfId="3" applyNumberFormat="1" applyFont="1" applyFill="1" applyBorder="1"/>
    <xf numFmtId="7" fontId="24" fillId="0" borderId="1" xfId="3" applyNumberFormat="1" applyFont="1" applyFill="1" applyBorder="1" applyAlignment="1"/>
    <xf numFmtId="10" fontId="1" fillId="0" borderId="1" xfId="7" applyNumberFormat="1" applyFont="1" applyFill="1" applyBorder="1" applyAlignment="1"/>
    <xf numFmtId="5" fontId="14" fillId="0" borderId="18" xfId="1" applyNumberFormat="1" applyFont="1" applyBorder="1" applyAlignment="1">
      <alignment horizontal="right"/>
    </xf>
    <xf numFmtId="0" fontId="12" fillId="0" borderId="54" xfId="0" applyFont="1" applyBorder="1"/>
    <xf numFmtId="0" fontId="30" fillId="0" borderId="0" xfId="0" applyFont="1" applyBorder="1" applyAlignment="1">
      <alignment horizontal="center" vertical="center" wrapText="1"/>
    </xf>
    <xf numFmtId="5" fontId="17" fillId="0" borderId="0" xfId="1" applyNumberFormat="1" applyFont="1" applyBorder="1" applyAlignment="1">
      <alignment horizontal="right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13" fillId="2" borderId="24" xfId="0" applyFont="1" applyFill="1" applyBorder="1"/>
    <xf numFmtId="0" fontId="30" fillId="0" borderId="6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left" vertical="center" indent="3"/>
    </xf>
    <xf numFmtId="0" fontId="0" fillId="0" borderId="0" xfId="0" applyBorder="1"/>
    <xf numFmtId="10" fontId="12" fillId="7" borderId="61" xfId="7" applyNumberFormat="1" applyFont="1" applyFill="1" applyBorder="1" applyAlignment="1">
      <alignment horizontal="center"/>
    </xf>
    <xf numFmtId="43" fontId="12" fillId="7" borderId="61" xfId="6" applyFont="1" applyFill="1" applyBorder="1" applyAlignment="1">
      <alignment horizontal="center"/>
    </xf>
    <xf numFmtId="7" fontId="12" fillId="7" borderId="61" xfId="1" applyNumberFormat="1" applyFont="1" applyFill="1" applyBorder="1" applyAlignment="1">
      <alignment horizontal="center"/>
    </xf>
    <xf numFmtId="7" fontId="12" fillId="8" borderId="62" xfId="1" applyNumberFormat="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3" borderId="20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10" fontId="28" fillId="0" borderId="23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0" fontId="28" fillId="9" borderId="24" xfId="3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0" fillId="0" borderId="4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42" xfId="2" applyFont="1" applyBorder="1" applyAlignment="1" applyProtection="1">
      <alignment horizontal="center"/>
    </xf>
    <xf numFmtId="0" fontId="4" fillId="0" borderId="26" xfId="2" applyFont="1" applyBorder="1" applyAlignment="1" applyProtection="1">
      <alignment horizontal="center"/>
    </xf>
    <xf numFmtId="0" fontId="4" fillId="0" borderId="46" xfId="2" applyFont="1" applyBorder="1" applyAlignment="1" applyProtection="1">
      <alignment horizontal="center"/>
    </xf>
    <xf numFmtId="0" fontId="30" fillId="0" borderId="59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10" fillId="6" borderId="5" xfId="3" applyFont="1" applyFill="1" applyBorder="1" applyAlignment="1">
      <alignment horizontal="center"/>
    </xf>
    <xf numFmtId="0" fontId="10" fillId="6" borderId="37" xfId="3" applyFont="1" applyFill="1" applyBorder="1" applyAlignment="1">
      <alignment horizontal="center"/>
    </xf>
    <xf numFmtId="0" fontId="28" fillId="2" borderId="47" xfId="3" applyFont="1" applyFill="1" applyBorder="1" applyAlignment="1">
      <alignment horizontal="center"/>
    </xf>
    <xf numFmtId="0" fontId="28" fillId="2" borderId="48" xfId="3" applyFont="1" applyFill="1" applyBorder="1" applyAlignment="1">
      <alignment horizontal="center"/>
    </xf>
    <xf numFmtId="10" fontId="5" fillId="0" borderId="23" xfId="7" applyNumberFormat="1" applyFont="1" applyFill="1" applyBorder="1" applyAlignment="1">
      <alignment horizontal="right"/>
    </xf>
    <xf numFmtId="10" fontId="5" fillId="0" borderId="25" xfId="7" applyNumberFormat="1" applyFont="1" applyFill="1" applyBorder="1" applyAlignment="1">
      <alignment horizontal="right"/>
    </xf>
    <xf numFmtId="43" fontId="0" fillId="0" borderId="23" xfId="6" applyFont="1" applyFill="1" applyBorder="1" applyAlignment="1">
      <alignment horizontal="center"/>
    </xf>
    <xf numFmtId="43" fontId="0" fillId="0" borderId="25" xfId="6" applyFont="1" applyFill="1" applyBorder="1" applyAlignment="1">
      <alignment horizontal="center"/>
    </xf>
    <xf numFmtId="7" fontId="0" fillId="0" borderId="23" xfId="0" applyNumberFormat="1" applyFont="1" applyFill="1" applyBorder="1" applyAlignment="1">
      <alignment horizontal="right"/>
    </xf>
    <xf numFmtId="7" fontId="0" fillId="0" borderId="25" xfId="0" applyNumberFormat="1" applyFont="1" applyFill="1" applyBorder="1" applyAlignment="1">
      <alignment horizontal="right"/>
    </xf>
    <xf numFmtId="10" fontId="28" fillId="0" borderId="23" xfId="7" applyNumberFormat="1" applyFont="1" applyFill="1" applyBorder="1" applyAlignment="1">
      <alignment horizontal="right"/>
    </xf>
    <xf numFmtId="10" fontId="28" fillId="0" borderId="25" xfId="7" applyNumberFormat="1" applyFont="1" applyFill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7" fontId="25" fillId="0" borderId="23" xfId="0" applyNumberFormat="1" applyFont="1" applyFill="1" applyBorder="1" applyAlignment="1">
      <alignment horizontal="right"/>
    </xf>
    <xf numFmtId="7" fontId="25" fillId="0" borderId="25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vertical="top" wrapText="1"/>
    </xf>
    <xf numFmtId="0" fontId="28" fillId="2" borderId="50" xfId="3" applyFont="1" applyFill="1" applyBorder="1" applyAlignment="1">
      <alignment horizontal="center"/>
    </xf>
    <xf numFmtId="0" fontId="28" fillId="2" borderId="26" xfId="3" applyFont="1" applyFill="1" applyBorder="1" applyAlignment="1">
      <alignment horizontal="center"/>
    </xf>
    <xf numFmtId="0" fontId="28" fillId="2" borderId="38" xfId="3" applyFont="1" applyFill="1" applyBorder="1" applyAlignment="1">
      <alignment horizontal="center"/>
    </xf>
    <xf numFmtId="0" fontId="28" fillId="2" borderId="47" xfId="3" applyFont="1" applyFill="1" applyBorder="1" applyAlignment="1">
      <alignment horizontal="center" wrapText="1"/>
    </xf>
    <xf numFmtId="0" fontId="28" fillId="2" borderId="48" xfId="3" applyFont="1" applyFill="1" applyBorder="1" applyAlignment="1">
      <alignment horizontal="center" wrapText="1"/>
    </xf>
    <xf numFmtId="0" fontId="28" fillId="0" borderId="51" xfId="3" applyFont="1" applyFill="1" applyBorder="1" applyAlignment="1">
      <alignment horizontal="center" wrapText="1"/>
    </xf>
    <xf numFmtId="0" fontId="28" fillId="0" borderId="37" xfId="3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8">
    <cellStyle name="Comma" xfId="6" builtinId="3"/>
    <cellStyle name="Currency" xfId="1" builtinId="4"/>
    <cellStyle name="Hyperlink" xfId="2" builtinId="8"/>
    <cellStyle name="Hyperlink 2" xfId="4"/>
    <cellStyle name="Normal" xfId="0" builtinId="0"/>
    <cellStyle name="Normal 2" xfId="3"/>
    <cellStyle name="Percent" xfId="7" builtinId="5"/>
    <cellStyle name="Percent 2" xfId="5"/>
  </cellStyles>
  <dxfs count="0"/>
  <tableStyles count="0" defaultTableStyle="TableStyleMedium9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search.uconn.edu/sps-awards/effort-reporting/academic-calenda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search.uconn.edu/sps-awards/effort-reporting/academic-calendar/" TargetMode="External"/><Relationship Id="rId1" Type="http://schemas.openxmlformats.org/officeDocument/2006/relationships/hyperlink" Target="http://grants.nih.gov/grants/policy/salcap_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sqref="A1:L1"/>
    </sheetView>
  </sheetViews>
  <sheetFormatPr defaultRowHeight="15" x14ac:dyDescent="0.25"/>
  <cols>
    <col min="1" max="1" width="1.7109375" customWidth="1"/>
    <col min="2" max="2" width="18" customWidth="1"/>
    <col min="3" max="3" width="20.140625" customWidth="1"/>
    <col min="4" max="4" width="14.7109375" customWidth="1"/>
    <col min="5" max="5" width="12.28515625" customWidth="1"/>
    <col min="6" max="6" width="6.28515625" customWidth="1"/>
    <col min="7" max="7" width="6" customWidth="1"/>
    <col min="8" max="9" width="15.7109375" customWidth="1"/>
    <col min="10" max="10" width="12.7109375" customWidth="1"/>
    <col min="11" max="11" width="14.140625" customWidth="1"/>
    <col min="12" max="12" width="6.42578125" customWidth="1"/>
    <col min="13" max="13" width="12" customWidth="1"/>
    <col min="14" max="16" width="0" hidden="1" customWidth="1"/>
  </cols>
  <sheetData>
    <row r="1" spans="1:16" s="3" customFormat="1" ht="21" customHeight="1" x14ac:dyDescent="0.35">
      <c r="A1" s="231" t="str">
        <f>+'Salary Cap Worksheet'!A1</f>
        <v>UConn HHS Salary Cap Calculator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6" s="3" customFormat="1" x14ac:dyDescent="0.25">
      <c r="A2" s="13"/>
      <c r="B2"/>
      <c r="C2" s="5"/>
      <c r="D2" s="2"/>
      <c r="L2" s="12" t="str">
        <f>+'Salary Cap Worksheet'!L2</f>
        <v>Version: 3/20/2017</v>
      </c>
    </row>
    <row r="4" spans="1:16" s="3" customFormat="1" ht="28.5" customHeight="1" x14ac:dyDescent="0.3">
      <c r="A4" s="10"/>
      <c r="B4" s="20" t="s">
        <v>31</v>
      </c>
      <c r="C4" s="62"/>
      <c r="D4" s="21"/>
      <c r="E4" s="37"/>
      <c r="F4" s="37"/>
      <c r="G4" s="37"/>
      <c r="H4" s="37"/>
      <c r="I4" s="37"/>
      <c r="J4" s="37"/>
      <c r="K4" s="37"/>
      <c r="L4" s="7"/>
      <c r="M4" s="7"/>
      <c r="N4" s="7"/>
      <c r="O4" s="7"/>
      <c r="P4" s="7"/>
    </row>
    <row r="5" spans="1:16" s="113" customFormat="1" ht="18" customHeight="1" x14ac:dyDescent="0.25">
      <c r="A5" s="112"/>
      <c r="B5" s="120" t="s">
        <v>33</v>
      </c>
      <c r="C5" s="121"/>
      <c r="D5" s="122"/>
      <c r="E5" s="123"/>
      <c r="F5" s="123"/>
      <c r="G5" s="123"/>
      <c r="H5" s="123"/>
      <c r="I5" s="123"/>
      <c r="J5" s="123"/>
      <c r="K5" s="123"/>
      <c r="L5" s="114"/>
      <c r="M5" s="114"/>
      <c r="N5" s="114"/>
      <c r="O5" s="114"/>
      <c r="P5" s="114"/>
    </row>
    <row r="6" spans="1:16" s="113" customFormat="1" ht="18" customHeight="1" x14ac:dyDescent="0.25">
      <c r="A6" s="112"/>
      <c r="B6" s="120" t="s">
        <v>35</v>
      </c>
      <c r="C6" s="121"/>
      <c r="D6" s="122"/>
      <c r="E6" s="123"/>
      <c r="F6" s="123"/>
      <c r="G6" s="123"/>
      <c r="H6" s="123"/>
      <c r="I6" s="123"/>
      <c r="J6" s="123"/>
      <c r="K6" s="123"/>
      <c r="L6" s="114"/>
      <c r="M6" s="114"/>
      <c r="N6" s="114"/>
      <c r="O6" s="114"/>
      <c r="P6" s="114"/>
    </row>
    <row r="7" spans="1:16" s="113" customFormat="1" ht="18" customHeight="1" x14ac:dyDescent="0.25">
      <c r="A7" s="112"/>
      <c r="B7" s="120" t="s">
        <v>37</v>
      </c>
      <c r="C7" s="124"/>
      <c r="D7" s="122"/>
      <c r="E7" s="123"/>
      <c r="F7" s="123"/>
      <c r="G7" s="123"/>
      <c r="H7" s="123"/>
      <c r="I7" s="123"/>
      <c r="J7" s="123"/>
      <c r="K7" s="123"/>
      <c r="L7" s="114"/>
      <c r="M7" s="114"/>
      <c r="N7" s="114"/>
      <c r="O7" s="114"/>
      <c r="P7" s="114"/>
    </row>
    <row r="8" spans="1:16" s="113" customFormat="1" ht="18" customHeight="1" x14ac:dyDescent="0.25">
      <c r="A8" s="112"/>
      <c r="B8" s="125" t="s">
        <v>36</v>
      </c>
      <c r="C8" s="126" t="s">
        <v>29</v>
      </c>
      <c r="D8" s="122"/>
      <c r="E8" s="123"/>
      <c r="F8" s="123"/>
      <c r="G8" s="123"/>
      <c r="H8" s="123"/>
      <c r="I8" s="123"/>
      <c r="J8" s="123"/>
      <c r="K8" s="123"/>
      <c r="L8" s="114"/>
      <c r="M8" s="114"/>
      <c r="N8" s="114"/>
      <c r="O8" s="114"/>
      <c r="P8" s="114"/>
    </row>
    <row r="9" spans="1:16" s="113" customFormat="1" ht="18" customHeight="1" x14ac:dyDescent="0.25">
      <c r="A9" s="112"/>
      <c r="B9" s="120" t="s">
        <v>38</v>
      </c>
      <c r="C9" s="127"/>
      <c r="D9" s="122"/>
      <c r="E9" s="127"/>
      <c r="F9" s="127"/>
      <c r="G9" s="127"/>
      <c r="H9" s="127"/>
      <c r="I9" s="127"/>
      <c r="J9" s="127"/>
      <c r="K9" s="123"/>
      <c r="L9" s="114"/>
      <c r="M9" s="114"/>
      <c r="N9" s="114"/>
      <c r="O9" s="114"/>
      <c r="P9" s="114"/>
    </row>
    <row r="10" spans="1:16" s="113" customFormat="1" ht="18" customHeight="1" x14ac:dyDescent="0.25">
      <c r="A10" s="112"/>
      <c r="B10" s="120" t="s">
        <v>71</v>
      </c>
      <c r="C10" s="127"/>
      <c r="D10" s="122"/>
      <c r="E10" s="127"/>
      <c r="F10" s="127"/>
      <c r="G10" s="127"/>
      <c r="H10" s="127"/>
      <c r="I10" s="127"/>
      <c r="J10" s="127"/>
      <c r="K10" s="123"/>
      <c r="L10" s="114"/>
      <c r="M10" s="114"/>
      <c r="N10" s="114"/>
      <c r="O10" s="114"/>
      <c r="P10" s="114"/>
    </row>
    <row r="11" spans="1:16" s="113" customFormat="1" ht="18" customHeight="1" x14ac:dyDescent="0.25">
      <c r="A11" s="112"/>
      <c r="B11" s="224" t="s">
        <v>72</v>
      </c>
      <c r="C11" s="127"/>
      <c r="D11" s="122"/>
      <c r="E11" s="127"/>
      <c r="F11" s="127"/>
      <c r="G11" s="127"/>
      <c r="H11" s="127"/>
      <c r="I11" s="127"/>
      <c r="J11" s="127"/>
      <c r="K11" s="123"/>
      <c r="L11" s="114"/>
      <c r="M11" s="114"/>
      <c r="N11" s="114"/>
      <c r="O11" s="114"/>
      <c r="P11" s="114"/>
    </row>
    <row r="12" spans="1:16" s="113" customFormat="1" ht="18" customHeight="1" x14ac:dyDescent="0.25">
      <c r="A12" s="112"/>
      <c r="B12" s="224" t="s">
        <v>73</v>
      </c>
      <c r="C12" s="127"/>
      <c r="D12" s="122"/>
      <c r="E12" s="127"/>
      <c r="F12" s="127"/>
      <c r="G12" s="127"/>
      <c r="H12" s="127"/>
      <c r="I12" s="127"/>
      <c r="J12" s="127"/>
      <c r="K12" s="123"/>
      <c r="L12" s="114"/>
      <c r="M12" s="114"/>
      <c r="N12" s="114"/>
      <c r="O12" s="114"/>
      <c r="P12" s="114"/>
    </row>
    <row r="13" spans="1:16" s="113" customFormat="1" ht="18" customHeight="1" x14ac:dyDescent="0.25">
      <c r="A13" s="115"/>
      <c r="B13" s="128" t="s">
        <v>43</v>
      </c>
      <c r="C13" s="129"/>
      <c r="D13" s="129"/>
      <c r="E13" s="129"/>
      <c r="F13" s="129"/>
      <c r="G13" s="129"/>
      <c r="H13" s="129"/>
      <c r="I13" s="129"/>
      <c r="J13" s="129"/>
      <c r="K13" s="122"/>
    </row>
  </sheetData>
  <mergeCells count="1">
    <mergeCell ref="A1:L1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40"/>
  <sheetViews>
    <sheetView tabSelected="1" zoomScaleNormal="100" zoomScalePageLayoutView="70" workbookViewId="0">
      <selection activeCell="D11" sqref="D11"/>
    </sheetView>
  </sheetViews>
  <sheetFormatPr defaultRowHeight="15" x14ac:dyDescent="0.25"/>
  <cols>
    <col min="1" max="1" width="1.7109375" style="13" customWidth="1"/>
    <col min="2" max="2" width="18" customWidth="1"/>
    <col min="3" max="3" width="20.140625" style="5" customWidth="1"/>
    <col min="4" max="4" width="14.7109375" style="2" customWidth="1"/>
    <col min="5" max="5" width="13.140625" style="3" customWidth="1"/>
    <col min="6" max="6" width="6.28515625" style="3" customWidth="1"/>
    <col min="7" max="7" width="6" style="3" customWidth="1"/>
    <col min="8" max="9" width="15.7109375" style="3" customWidth="1"/>
    <col min="10" max="10" width="12.7109375" style="3" customWidth="1"/>
    <col min="11" max="11" width="11.85546875" style="3" customWidth="1"/>
    <col min="12" max="12" width="6.42578125" style="3" customWidth="1"/>
    <col min="13" max="13" width="12" style="3" customWidth="1"/>
    <col min="14" max="14" width="12.85546875" style="3" hidden="1" customWidth="1"/>
    <col min="15" max="15" width="12.42578125" style="3" hidden="1" customWidth="1"/>
    <col min="16" max="16" width="24.85546875" style="3" hidden="1" customWidth="1"/>
    <col min="17" max="16384" width="9.140625" style="3"/>
  </cols>
  <sheetData>
    <row r="1" spans="1:16" ht="21" customHeight="1" x14ac:dyDescent="0.35">
      <c r="A1" s="266" t="s">
        <v>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N1" s="3" t="s">
        <v>24</v>
      </c>
    </row>
    <row r="2" spans="1:16" x14ac:dyDescent="0.25">
      <c r="L2" s="12" t="s">
        <v>77</v>
      </c>
      <c r="N2" s="3">
        <v>9</v>
      </c>
      <c r="O2" s="3">
        <v>0.33333000000000002</v>
      </c>
      <c r="P2" s="3">
        <f>19.5/26</f>
        <v>0.75</v>
      </c>
    </row>
    <row r="3" spans="1:16" ht="15.75" thickBot="1" x14ac:dyDescent="0.3">
      <c r="L3" s="12"/>
      <c r="N3" s="3">
        <v>11</v>
      </c>
      <c r="O3" s="3">
        <v>0</v>
      </c>
      <c r="P3" s="3">
        <v>1</v>
      </c>
    </row>
    <row r="4" spans="1:16" ht="16.5" thickBot="1" x14ac:dyDescent="0.3">
      <c r="B4" s="21"/>
      <c r="C4" s="23" t="s">
        <v>52</v>
      </c>
      <c r="D4" s="232"/>
      <c r="E4" s="233"/>
      <c r="F4" s="233"/>
      <c r="G4" s="233"/>
      <c r="H4" s="233"/>
      <c r="I4" s="233"/>
      <c r="J4" s="234"/>
      <c r="K4" s="21"/>
      <c r="L4"/>
      <c r="N4" s="3">
        <v>10</v>
      </c>
      <c r="O4" s="3">
        <v>0.18181800000000001</v>
      </c>
      <c r="P4" s="3">
        <f>22/26</f>
        <v>0.84615384615384615</v>
      </c>
    </row>
    <row r="5" spans="1:16" ht="16.5" customHeight="1" thickBot="1" x14ac:dyDescent="0.3">
      <c r="B5" s="21"/>
      <c r="C5" s="23" t="s">
        <v>51</v>
      </c>
      <c r="D5" s="232"/>
      <c r="E5" s="233"/>
      <c r="F5" s="233"/>
      <c r="G5" s="233"/>
      <c r="H5" s="233"/>
      <c r="I5" s="233"/>
      <c r="J5" s="234"/>
      <c r="K5" s="21"/>
      <c r="L5"/>
      <c r="N5" s="3">
        <v>12</v>
      </c>
      <c r="O5" s="3">
        <v>0</v>
      </c>
      <c r="P5" s="3">
        <v>1</v>
      </c>
    </row>
    <row r="6" spans="1:16" ht="16.5" thickBot="1" x14ac:dyDescent="0.3">
      <c r="B6" s="21"/>
      <c r="C6" s="24"/>
      <c r="D6" s="21"/>
      <c r="E6" s="21"/>
      <c r="F6" s="21"/>
      <c r="G6" s="21"/>
      <c r="H6" s="21"/>
      <c r="I6" s="21"/>
      <c r="J6" s="21"/>
      <c r="K6" s="21"/>
      <c r="L6"/>
    </row>
    <row r="7" spans="1:16" ht="16.5" customHeight="1" thickBot="1" x14ac:dyDescent="0.3">
      <c r="B7" s="21"/>
      <c r="C7" s="23" t="s">
        <v>50</v>
      </c>
      <c r="D7" s="25"/>
      <c r="E7" s="21"/>
      <c r="F7" s="21"/>
      <c r="G7" s="21"/>
      <c r="H7" s="21"/>
      <c r="I7" s="278" t="s">
        <v>0</v>
      </c>
      <c r="J7" s="279"/>
      <c r="K7" s="280"/>
      <c r="L7"/>
    </row>
    <row r="8" spans="1:16" ht="16.5" customHeight="1" thickBot="1" x14ac:dyDescent="0.3">
      <c r="B8" s="21"/>
      <c r="C8" s="23" t="s">
        <v>49</v>
      </c>
      <c r="D8" s="26"/>
      <c r="E8" s="21"/>
      <c r="F8" s="21"/>
      <c r="G8" s="21"/>
      <c r="H8" s="21"/>
      <c r="I8" s="238" t="s">
        <v>19</v>
      </c>
      <c r="J8" s="239"/>
      <c r="K8" s="223" t="s">
        <v>1</v>
      </c>
      <c r="L8"/>
    </row>
    <row r="9" spans="1:16" ht="16.5" customHeight="1" x14ac:dyDescent="0.25">
      <c r="B9" s="21"/>
      <c r="C9" s="22"/>
      <c r="D9" s="21"/>
      <c r="E9" s="21"/>
      <c r="F9" s="21"/>
      <c r="G9" s="21"/>
      <c r="H9" s="21"/>
      <c r="I9" s="240" t="s">
        <v>75</v>
      </c>
      <c r="J9" s="241"/>
      <c r="K9" s="188">
        <v>187000</v>
      </c>
      <c r="L9"/>
    </row>
    <row r="10" spans="1:16" ht="16.5" customHeight="1" thickBot="1" x14ac:dyDescent="0.3">
      <c r="B10" s="270" t="s">
        <v>48</v>
      </c>
      <c r="C10" s="270"/>
      <c r="D10" s="21"/>
      <c r="E10" s="21"/>
      <c r="F10" s="21"/>
      <c r="G10" s="21"/>
      <c r="H10" s="21"/>
      <c r="I10" s="240" t="s">
        <v>74</v>
      </c>
      <c r="J10" s="241"/>
      <c r="K10" s="188">
        <v>185100</v>
      </c>
      <c r="L10"/>
    </row>
    <row r="11" spans="1:16" ht="16.5" customHeight="1" thickBot="1" x14ac:dyDescent="0.3">
      <c r="B11" s="270"/>
      <c r="C11" s="270"/>
      <c r="D11" s="27"/>
      <c r="E11" s="21"/>
      <c r="F11" s="21"/>
      <c r="G11" s="21"/>
      <c r="H11" s="21"/>
      <c r="I11" s="240" t="s">
        <v>23</v>
      </c>
      <c r="J11" s="241"/>
      <c r="K11" s="188">
        <v>183300</v>
      </c>
      <c r="L11"/>
    </row>
    <row r="12" spans="1:16" ht="16.5" customHeight="1" x14ac:dyDescent="0.25">
      <c r="B12" s="267" t="s">
        <v>34</v>
      </c>
      <c r="C12" s="267"/>
      <c r="D12" s="267"/>
      <c r="E12" s="267"/>
      <c r="F12" s="21"/>
      <c r="G12" s="21"/>
      <c r="H12" s="21"/>
      <c r="I12" s="240" t="s">
        <v>22</v>
      </c>
      <c r="J12" s="241"/>
      <c r="K12" s="188">
        <v>181500</v>
      </c>
      <c r="L12"/>
    </row>
    <row r="13" spans="1:16" ht="16.5" customHeight="1" x14ac:dyDescent="0.25">
      <c r="B13" s="230"/>
      <c r="C13" s="230"/>
      <c r="D13" s="230"/>
      <c r="E13" s="230"/>
      <c r="F13" s="21"/>
      <c r="G13" s="21"/>
      <c r="H13" s="21"/>
      <c r="I13" s="240" t="s">
        <v>11</v>
      </c>
      <c r="J13" s="241"/>
      <c r="K13" s="188">
        <v>179700</v>
      </c>
      <c r="L13"/>
    </row>
    <row r="14" spans="1:16" ht="16.5" customHeight="1" x14ac:dyDescent="0.25">
      <c r="B14" s="21"/>
      <c r="C14" s="22"/>
      <c r="D14" s="21"/>
      <c r="E14" s="28"/>
      <c r="F14" s="21"/>
      <c r="G14" s="21"/>
      <c r="H14" s="21"/>
      <c r="I14" s="240" t="s">
        <v>76</v>
      </c>
      <c r="J14" s="241"/>
      <c r="K14" s="188">
        <v>199700</v>
      </c>
      <c r="L14"/>
    </row>
    <row r="15" spans="1:16" ht="16.5" customHeight="1" x14ac:dyDescent="0.25">
      <c r="B15" s="21"/>
      <c r="C15" s="29" t="s">
        <v>3</v>
      </c>
      <c r="D15" s="30" t="str">
        <f>IF(ISBLANK(Appt),"",BaseSal/Appt*12)</f>
        <v/>
      </c>
      <c r="E15" s="31">
        <f>IF(AnnualSal="",0,SalaryCap/AnnualSal)</f>
        <v>0</v>
      </c>
      <c r="F15" s="31"/>
      <c r="G15" s="31"/>
      <c r="H15" s="21"/>
      <c r="I15" s="242" t="s">
        <v>2</v>
      </c>
      <c r="J15" s="243"/>
      <c r="K15" s="244"/>
      <c r="L15"/>
    </row>
    <row r="16" spans="1:16" ht="15" customHeight="1" thickBot="1" x14ac:dyDescent="0.3">
      <c r="B16" s="21"/>
      <c r="C16" s="23"/>
      <c r="D16" s="23"/>
      <c r="E16" s="28"/>
      <c r="F16" s="21"/>
      <c r="G16" s="21"/>
      <c r="H16" s="21"/>
      <c r="I16" s="245" t="s">
        <v>20</v>
      </c>
      <c r="J16" s="246"/>
      <c r="K16" s="247"/>
      <c r="L16"/>
    </row>
    <row r="17" spans="2:16" ht="16.5" customHeight="1" thickBot="1" x14ac:dyDescent="0.3">
      <c r="B17" s="21"/>
      <c r="C17" s="23" t="s">
        <v>47</v>
      </c>
      <c r="D17" s="26"/>
      <c r="E17" s="198" t="str">
        <f>IF(ISBLANK(SalaryCap),"",IF(SalaryCap&lt;D15,"OVER THE CAP","Salary Cap Calculator Not Needed"))</f>
        <v/>
      </c>
      <c r="F17" s="32"/>
      <c r="G17" s="32"/>
      <c r="H17" s="33"/>
      <c r="I17" s="248"/>
      <c r="J17" s="249"/>
      <c r="K17" s="250"/>
      <c r="L17"/>
    </row>
    <row r="18" spans="2:16" ht="15" customHeight="1" thickBot="1" x14ac:dyDescent="0.3">
      <c r="B18" s="21"/>
      <c r="C18" s="24"/>
      <c r="D18" s="212"/>
      <c r="E18" s="21"/>
      <c r="F18" s="21"/>
      <c r="G18" s="21"/>
      <c r="H18" s="21"/>
      <c r="I18" s="251"/>
      <c r="J18" s="252"/>
      <c r="K18" s="253"/>
      <c r="L18"/>
    </row>
    <row r="19" spans="2:16" ht="15" hidden="1" customHeight="1" x14ac:dyDescent="0.25">
      <c r="B19" s="21"/>
      <c r="C19" s="29" t="s">
        <v>7</v>
      </c>
      <c r="D19" s="30">
        <f>+SalaryCap/12*Appt</f>
        <v>0</v>
      </c>
      <c r="E19" s="21" t="s">
        <v>18</v>
      </c>
      <c r="F19" s="21"/>
      <c r="G19" s="21"/>
      <c r="H19" s="21"/>
      <c r="I19" s="215"/>
      <c r="J19" s="213"/>
      <c r="K19" s="216"/>
      <c r="L19" s="1"/>
    </row>
    <row r="20" spans="2:16" ht="15" hidden="1" customHeight="1" thickBot="1" x14ac:dyDescent="0.3">
      <c r="B20" s="21"/>
      <c r="C20" s="34" t="s">
        <v>6</v>
      </c>
      <c r="D20" s="35">
        <f>+D8-D19</f>
        <v>0</v>
      </c>
      <c r="E20" s="21" t="s">
        <v>18</v>
      </c>
      <c r="F20" s="21"/>
      <c r="G20" s="21"/>
      <c r="H20" s="21"/>
      <c r="I20" s="220"/>
      <c r="J20" s="221"/>
      <c r="K20" s="222"/>
      <c r="M20" s="4"/>
    </row>
    <row r="21" spans="2:16" ht="15" hidden="1" customHeight="1" thickBot="1" x14ac:dyDescent="0.3">
      <c r="B21" s="21"/>
      <c r="C21" s="36"/>
      <c r="D21" s="214"/>
      <c r="E21" s="37" t="s">
        <v>18</v>
      </c>
      <c r="F21" s="21"/>
      <c r="G21" s="21"/>
      <c r="H21" s="21"/>
      <c r="M21" s="4"/>
    </row>
    <row r="22" spans="2:16" ht="15.75" hidden="1" x14ac:dyDescent="0.25">
      <c r="B22" s="21"/>
      <c r="C22" s="29" t="s">
        <v>12</v>
      </c>
      <c r="D22" s="211">
        <f>IF(D11="Yes",AnnualSal,BaseSal)</f>
        <v>0</v>
      </c>
      <c r="E22" s="38" t="s">
        <v>18</v>
      </c>
      <c r="F22" s="38"/>
      <c r="G22" s="38"/>
      <c r="H22" s="21"/>
      <c r="I22" s="39"/>
      <c r="J22" s="39"/>
      <c r="K22" s="39"/>
      <c r="M22" s="4"/>
    </row>
    <row r="23" spans="2:16" ht="15.75" hidden="1" x14ac:dyDescent="0.25">
      <c r="B23" s="21"/>
      <c r="C23" s="29" t="s">
        <v>13</v>
      </c>
      <c r="D23" s="30">
        <f>IF(D11="Yes",SalaryCap,D19)</f>
        <v>0</v>
      </c>
      <c r="E23" s="38" t="s">
        <v>18</v>
      </c>
      <c r="F23" s="38"/>
      <c r="G23" s="38"/>
      <c r="H23" s="21"/>
      <c r="I23" s="21"/>
      <c r="J23" s="21"/>
      <c r="K23" s="21"/>
      <c r="L23" s="1"/>
      <c r="M23" s="4"/>
    </row>
    <row r="24" spans="2:16" ht="16.5" hidden="1" thickBot="1" x14ac:dyDescent="0.3">
      <c r="B24" s="21"/>
      <c r="C24" s="24"/>
      <c r="D24" s="40"/>
      <c r="E24" s="21" t="s">
        <v>18</v>
      </c>
      <c r="F24" s="21"/>
      <c r="G24" s="21"/>
      <c r="H24" s="21"/>
      <c r="I24" s="21"/>
      <c r="J24" s="21"/>
      <c r="K24" s="21"/>
      <c r="N24" s="4"/>
      <c r="O24" s="4"/>
      <c r="P24" s="4"/>
    </row>
    <row r="25" spans="2:16" ht="16.5" customHeight="1" thickBot="1" x14ac:dyDescent="0.3">
      <c r="B25" s="21"/>
      <c r="C25" s="41" t="s">
        <v>44</v>
      </c>
      <c r="D25" s="42"/>
      <c r="E25" s="196" t="s">
        <v>30</v>
      </c>
      <c r="F25" s="21"/>
      <c r="G25" s="21"/>
      <c r="H25" s="117"/>
      <c r="I25" s="133"/>
      <c r="J25" s="134" t="s">
        <v>53</v>
      </c>
      <c r="K25" s="135">
        <f>PayAnnSal/26*PayPeriods</f>
        <v>0</v>
      </c>
      <c r="L25" s="136"/>
    </row>
    <row r="26" spans="2:16" ht="16.5" customHeight="1" thickBot="1" x14ac:dyDescent="0.3">
      <c r="B26" s="21"/>
      <c r="C26" s="41" t="s">
        <v>45</v>
      </c>
      <c r="D26" s="42"/>
      <c r="E26" s="197" t="s">
        <v>29</v>
      </c>
      <c r="F26" s="21"/>
      <c r="G26" s="21"/>
      <c r="H26" s="117"/>
      <c r="I26" s="117"/>
      <c r="J26" s="134" t="s">
        <v>54</v>
      </c>
      <c r="K26" s="135">
        <f>+PaySalCap/26*PayPeriods</f>
        <v>0</v>
      </c>
      <c r="L26" s="136"/>
    </row>
    <row r="27" spans="2:16" ht="16.5" customHeight="1" x14ac:dyDescent="0.25">
      <c r="B27" s="21"/>
      <c r="C27" s="41" t="s">
        <v>46</v>
      </c>
      <c r="D27" s="46">
        <f>IF(ISBLANK(D26),0,IF(ISBLANK(D25),0,NETWORKDAYS(D25,D26)/5/2))</f>
        <v>0</v>
      </c>
      <c r="E27" s="21"/>
      <c r="F27" s="21"/>
      <c r="G27" s="21"/>
      <c r="H27" s="117"/>
      <c r="I27" s="117"/>
      <c r="J27" s="137" t="s">
        <v>55</v>
      </c>
      <c r="K27" s="138">
        <f>+PayPeriods/26*12</f>
        <v>0</v>
      </c>
      <c r="L27" s="136"/>
      <c r="N27" s="4"/>
      <c r="O27" s="4"/>
      <c r="P27" s="4"/>
    </row>
    <row r="28" spans="2:16" ht="15.75" hidden="1" x14ac:dyDescent="0.25">
      <c r="B28" s="21"/>
      <c r="C28" s="23"/>
      <c r="D28" s="21"/>
      <c r="E28" s="21" t="s">
        <v>18</v>
      </c>
      <c r="F28" s="21"/>
      <c r="G28" s="21"/>
      <c r="H28" s="21"/>
      <c r="I28" s="21"/>
      <c r="J28" s="44" t="s">
        <v>16</v>
      </c>
      <c r="K28" s="132">
        <f>+PayAnnSal/12</f>
        <v>0</v>
      </c>
      <c r="N28" s="4"/>
      <c r="O28" s="4"/>
      <c r="P28" s="4"/>
    </row>
    <row r="29" spans="2:16" ht="15.75" hidden="1" x14ac:dyDescent="0.25">
      <c r="B29" s="21"/>
      <c r="C29" s="21"/>
      <c r="D29" s="21"/>
      <c r="E29" s="21" t="s">
        <v>18</v>
      </c>
      <c r="F29" s="21"/>
      <c r="G29" s="21"/>
      <c r="H29" s="21"/>
      <c r="I29" s="21"/>
      <c r="J29" s="44" t="s">
        <v>17</v>
      </c>
      <c r="K29" s="45">
        <f>+PaySalCap/12</f>
        <v>0</v>
      </c>
    </row>
    <row r="30" spans="2:16" ht="15.75" hidden="1" x14ac:dyDescent="0.25">
      <c r="B30" s="21"/>
      <c r="C30" s="41"/>
      <c r="D30" s="47"/>
      <c r="E30" s="21"/>
      <c r="F30" s="21"/>
      <c r="G30" s="21"/>
      <c r="H30" s="21"/>
      <c r="I30" s="21"/>
      <c r="J30" s="23"/>
      <c r="K30" s="48"/>
      <c r="N30" s="4"/>
      <c r="O30" s="4"/>
      <c r="P30" s="4"/>
    </row>
    <row r="31" spans="2:16" ht="15.75" hidden="1" x14ac:dyDescent="0.25">
      <c r="B31" s="21"/>
      <c r="C31" s="41"/>
      <c r="D31" s="47"/>
      <c r="E31" s="21" t="s">
        <v>18</v>
      </c>
      <c r="F31" s="21"/>
      <c r="G31" s="21"/>
      <c r="H31" s="21"/>
      <c r="I31" s="21"/>
      <c r="J31" s="44" t="s">
        <v>56</v>
      </c>
      <c r="K31" s="45">
        <f>IF(ISBLANK(SummerEff),0,IF(SummerEff="Yes",EligSal,EligSal/VLOOKUP(Appt,$N$2:$P$5,3,FALSE)))</f>
        <v>0</v>
      </c>
      <c r="N31" s="4"/>
      <c r="O31" s="4"/>
      <c r="P31" s="4"/>
    </row>
    <row r="32" spans="2:16" ht="15.75" hidden="1" x14ac:dyDescent="0.25">
      <c r="B32" s="21"/>
      <c r="C32" s="41"/>
      <c r="D32" s="47"/>
      <c r="E32" s="21" t="s">
        <v>18</v>
      </c>
      <c r="F32" s="21"/>
      <c r="G32" s="21"/>
      <c r="H32" s="21"/>
      <c r="I32" s="21"/>
      <c r="J32" s="44" t="s">
        <v>57</v>
      </c>
      <c r="K32" s="45">
        <f>IF(ISBLANK(SummerEff),0,IF(SummerEff="Yes",K26,K26/VLOOKUP(Appt,$N$2:$P$5,3,FALSE)))</f>
        <v>0</v>
      </c>
      <c r="N32" s="4"/>
      <c r="O32" s="4"/>
      <c r="P32" s="4"/>
    </row>
    <row r="33" spans="1:16" ht="15.75" x14ac:dyDescent="0.25">
      <c r="B33" s="21"/>
      <c r="C33" s="41"/>
      <c r="D33" s="47"/>
      <c r="E33" s="21"/>
      <c r="F33" s="21"/>
      <c r="G33" s="21"/>
      <c r="H33" s="21"/>
      <c r="I33" s="21"/>
      <c r="J33" s="44"/>
      <c r="K33" s="116"/>
      <c r="N33" s="4"/>
      <c r="O33" s="4"/>
      <c r="P33" s="4"/>
    </row>
    <row r="34" spans="1:16" ht="19.5" thickBot="1" x14ac:dyDescent="0.35">
      <c r="B34" s="130" t="s">
        <v>58</v>
      </c>
      <c r="C34" s="21"/>
      <c r="D34" s="21"/>
      <c r="E34" s="49"/>
      <c r="F34" s="49"/>
      <c r="G34" s="49"/>
      <c r="H34" s="21"/>
      <c r="I34" s="21"/>
      <c r="J34" s="21"/>
      <c r="K34" s="21"/>
      <c r="L34" s="1"/>
      <c r="M34" s="1"/>
    </row>
    <row r="35" spans="1:16" ht="17.25" thickTop="1" thickBot="1" x14ac:dyDescent="0.3">
      <c r="A35" s="14"/>
      <c r="B35" s="50"/>
      <c r="C35" s="51"/>
      <c r="D35" s="50"/>
      <c r="E35" s="52"/>
      <c r="F35" s="52"/>
      <c r="G35" s="52"/>
      <c r="H35" s="50"/>
      <c r="I35" s="50"/>
      <c r="J35" s="50"/>
      <c r="K35" s="50"/>
      <c r="L35" s="8"/>
    </row>
    <row r="36" spans="1:16" ht="16.5" customHeight="1" thickBot="1" x14ac:dyDescent="0.3">
      <c r="A36" s="15"/>
      <c r="B36" s="37"/>
      <c r="C36" s="37"/>
      <c r="D36" s="55"/>
      <c r="E36" s="55"/>
      <c r="F36" s="53"/>
      <c r="G36" s="53" t="s">
        <v>40</v>
      </c>
      <c r="H36" s="226"/>
      <c r="I36" s="37"/>
      <c r="J36" s="37"/>
      <c r="K36" s="37"/>
      <c r="L36" s="6"/>
      <c r="N36" s="4"/>
      <c r="O36" s="4"/>
      <c r="P36" s="4"/>
    </row>
    <row r="37" spans="1:16" ht="16.5" customHeight="1" thickBot="1" x14ac:dyDescent="0.3">
      <c r="A37" s="15"/>
      <c r="B37" s="37"/>
      <c r="C37" s="37"/>
      <c r="D37" s="37"/>
      <c r="E37" s="118"/>
      <c r="F37" s="119"/>
      <c r="G37" s="119" t="s">
        <v>25</v>
      </c>
      <c r="H37" s="118"/>
      <c r="I37" s="37"/>
      <c r="J37" s="37"/>
      <c r="K37" s="37"/>
      <c r="L37" s="6"/>
      <c r="N37" s="4"/>
      <c r="O37" s="4"/>
      <c r="P37" s="4"/>
    </row>
    <row r="38" spans="1:16" ht="16.5" customHeight="1" thickBot="1" x14ac:dyDescent="0.3">
      <c r="A38" s="15"/>
      <c r="B38" s="37"/>
      <c r="C38" s="37"/>
      <c r="D38" s="54"/>
      <c r="E38" s="54"/>
      <c r="F38" s="53"/>
      <c r="G38" s="53" t="s">
        <v>41</v>
      </c>
      <c r="H38" s="227"/>
      <c r="I38" s="37"/>
      <c r="J38" s="37"/>
      <c r="K38" s="37"/>
      <c r="L38" s="6"/>
      <c r="N38" s="4"/>
      <c r="O38" s="4"/>
      <c r="P38" s="4"/>
    </row>
    <row r="39" spans="1:16" ht="16.5" customHeight="1" thickBot="1" x14ac:dyDescent="0.3">
      <c r="A39" s="15"/>
      <c r="B39" s="37"/>
      <c r="C39" s="37"/>
      <c r="D39" s="37"/>
      <c r="E39" s="21"/>
      <c r="F39" s="119"/>
      <c r="G39" s="119" t="s">
        <v>25</v>
      </c>
      <c r="H39" s="118"/>
      <c r="I39" s="37"/>
      <c r="J39" s="37"/>
      <c r="K39" s="37"/>
      <c r="L39" s="6"/>
      <c r="N39" s="4"/>
      <c r="O39" s="4"/>
      <c r="P39" s="4"/>
    </row>
    <row r="40" spans="1:16" ht="16.5" customHeight="1" thickBot="1" x14ac:dyDescent="0.3">
      <c r="A40" s="15"/>
      <c r="B40" s="37"/>
      <c r="C40" s="37"/>
      <c r="D40" s="53"/>
      <c r="E40" s="53"/>
      <c r="F40" s="53"/>
      <c r="G40" s="53" t="s">
        <v>42</v>
      </c>
      <c r="H40" s="228"/>
      <c r="I40" s="37"/>
      <c r="J40" s="37"/>
      <c r="K40" s="117" t="str">
        <f>+IF(ISBLANK(GoalAmt),IF(ISBLANK(GoalPersMon),IF(ISBLANK(GoalPercEff),"","PERCENT"),"PERSMON"),"AMT")</f>
        <v/>
      </c>
      <c r="L40" s="6"/>
      <c r="N40" s="4"/>
      <c r="O40" s="4"/>
      <c r="P40" s="4"/>
    </row>
    <row r="41" spans="1:16" ht="16.5" thickBot="1" x14ac:dyDescent="0.3">
      <c r="A41" s="16"/>
      <c r="B41" s="56"/>
      <c r="C41" s="57"/>
      <c r="D41" s="58"/>
      <c r="E41" s="56"/>
      <c r="F41" s="56"/>
      <c r="G41" s="56"/>
      <c r="H41" s="56"/>
      <c r="I41" s="56"/>
      <c r="J41" s="59"/>
      <c r="K41" s="59"/>
      <c r="L41" s="11"/>
      <c r="N41" s="4"/>
      <c r="O41" s="4"/>
      <c r="P41" s="4"/>
    </row>
    <row r="42" spans="1:16" ht="16.5" thickTop="1" x14ac:dyDescent="0.25">
      <c r="A42" s="10"/>
      <c r="B42" s="37"/>
      <c r="C42" s="60"/>
      <c r="D42" s="53"/>
      <c r="E42" s="37"/>
      <c r="F42" s="37"/>
      <c r="G42" s="37"/>
      <c r="H42" s="37"/>
      <c r="I42" s="37"/>
      <c r="J42" s="61"/>
      <c r="K42" s="61"/>
      <c r="L42" s="7"/>
      <c r="N42" s="4"/>
      <c r="O42" s="4"/>
      <c r="P42" s="4"/>
    </row>
    <row r="43" spans="1:16" ht="15.75" x14ac:dyDescent="0.25">
      <c r="A43" s="10"/>
      <c r="B43" s="37"/>
      <c r="C43" s="60"/>
      <c r="D43" s="53"/>
      <c r="E43" s="37"/>
      <c r="F43" s="37"/>
      <c r="G43" s="37"/>
      <c r="H43" s="37"/>
      <c r="I43" s="37"/>
      <c r="J43" s="61"/>
      <c r="K43" s="61"/>
      <c r="L43" s="7"/>
      <c r="N43" s="4"/>
      <c r="O43" s="4"/>
      <c r="P43" s="4"/>
    </row>
    <row r="44" spans="1:16" ht="19.5" thickBot="1" x14ac:dyDescent="0.35">
      <c r="A44" s="10"/>
      <c r="B44" s="130" t="str">
        <f>+IF(SummerEff="Yes", "Dollar amounts to enter on SPAR:","Percentages to enter in the '% Effort' column on the SPS Salary Calculator:")</f>
        <v>Percentages to enter in the '% Effort' column on the SPS Salary Calculator:</v>
      </c>
      <c r="C44" s="60"/>
      <c r="D44" s="53"/>
      <c r="E44" s="37"/>
      <c r="F44" s="37"/>
      <c r="G44" s="37"/>
      <c r="H44" s="37"/>
      <c r="I44" s="21"/>
      <c r="J44" s="61"/>
      <c r="K44" s="61"/>
      <c r="L44" s="7"/>
      <c r="M44" s="7"/>
      <c r="N44" s="9"/>
      <c r="O44" s="9"/>
      <c r="P44" s="9"/>
    </row>
    <row r="45" spans="1:16" ht="17.25" thickTop="1" thickBot="1" x14ac:dyDescent="0.3">
      <c r="A45" s="14"/>
      <c r="B45" s="50"/>
      <c r="C45" s="51"/>
      <c r="D45" s="50"/>
      <c r="E45" s="52"/>
      <c r="F45" s="52"/>
      <c r="G45" s="52"/>
      <c r="H45" s="50"/>
      <c r="I45" s="50"/>
      <c r="J45" s="50"/>
      <c r="K45" s="50"/>
      <c r="L45" s="8"/>
    </row>
    <row r="46" spans="1:16" ht="16.5" customHeight="1" thickBot="1" x14ac:dyDescent="0.3">
      <c r="A46" s="15"/>
      <c r="B46" s="37"/>
      <c r="C46"/>
      <c r="D46"/>
      <c r="E46"/>
      <c r="F46" s="23"/>
      <c r="G46" s="23" t="str">
        <f>IF(SummerEff="Yes","HHS Grant Salary (Account #: "&amp;$D$5&amp;"): ","HHS Grant Effort (Account #: "&amp;$D$5&amp;"): ")</f>
        <v xml:space="preserve">HHS Grant Effort (Account #: ): </v>
      </c>
      <c r="H46" s="229" t="str">
        <f>IF(SummerEff="Yes",TEXT(E74,"$0.00"),TEXT(F73,"0.00%"))</f>
        <v/>
      </c>
      <c r="I46"/>
      <c r="J46" s="37"/>
      <c r="K46" s="37"/>
      <c r="L46" s="6"/>
      <c r="N46" s="4"/>
      <c r="O46" s="4"/>
      <c r="P46" s="4"/>
    </row>
    <row r="47" spans="1:16" ht="16.5" customHeight="1" thickBot="1" x14ac:dyDescent="0.3">
      <c r="A47" s="15"/>
      <c r="B47" s="37"/>
      <c r="C47"/>
      <c r="D47"/>
      <c r="E47"/>
      <c r="F47"/>
      <c r="G47"/>
      <c r="H47" s="37"/>
      <c r="I47" s="139"/>
      <c r="J47" s="139"/>
      <c r="K47" s="139"/>
      <c r="L47" s="6"/>
      <c r="N47" s="4"/>
      <c r="O47" s="4"/>
      <c r="P47" s="4"/>
    </row>
    <row r="48" spans="1:16" ht="16.5" customHeight="1" thickBot="1" x14ac:dyDescent="0.3">
      <c r="A48" s="15"/>
      <c r="B48" s="37"/>
      <c r="C48"/>
      <c r="D48"/>
      <c r="E48"/>
      <c r="F48" s="23"/>
      <c r="G48" s="23" t="str">
        <f>IF(SummerEff="Yes","Non-Grant Salary (portion over salary cap):","Non-Grant Effort (portion over salary cap):")</f>
        <v>Non-Grant Effort (portion over salary cap):</v>
      </c>
      <c r="H48" s="229" t="str">
        <f>IF(SummerEff="Yes",TEXT(E76,"$0.00"),TEXT(F75,"0.00%"))</f>
        <v/>
      </c>
      <c r="I48"/>
      <c r="J48"/>
      <c r="K48"/>
      <c r="L48" s="6"/>
      <c r="N48" s="4"/>
      <c r="O48" s="4"/>
      <c r="P48" s="4"/>
    </row>
    <row r="49" spans="1:16" ht="16.5" customHeight="1" x14ac:dyDescent="0.25">
      <c r="A49" s="15"/>
      <c r="B49" s="37"/>
      <c r="C49"/>
      <c r="D49"/>
      <c r="E49"/>
      <c r="F49"/>
      <c r="G49" s="225"/>
      <c r="H49"/>
      <c r="I49"/>
      <c r="J49"/>
      <c r="K49"/>
      <c r="L49" s="6"/>
      <c r="N49" s="4"/>
      <c r="O49" s="4"/>
      <c r="P49" s="4"/>
    </row>
    <row r="50" spans="1:16" ht="16.5" thickBot="1" x14ac:dyDescent="0.3">
      <c r="A50" s="16"/>
      <c r="B50" s="56"/>
      <c r="C50" s="57"/>
      <c r="D50" s="58"/>
      <c r="E50" s="56"/>
      <c r="F50" s="56"/>
      <c r="G50" s="56"/>
      <c r="H50" s="56"/>
      <c r="I50" s="56"/>
      <c r="J50" s="56"/>
      <c r="K50" s="56"/>
      <c r="L50" s="11"/>
      <c r="N50" s="4"/>
      <c r="O50" s="4"/>
      <c r="P50" s="4"/>
    </row>
    <row r="51" spans="1:16" ht="16.5" thickTop="1" x14ac:dyDescent="0.25">
      <c r="A51" s="10"/>
      <c r="B51" s="37"/>
      <c r="C51" s="60"/>
      <c r="D51" s="53"/>
      <c r="E51" s="37"/>
      <c r="F51" s="37"/>
      <c r="G51" s="37"/>
      <c r="H51" s="37"/>
      <c r="I51" s="37"/>
      <c r="J51" s="61"/>
      <c r="K51" s="61"/>
      <c r="L51" s="7"/>
      <c r="N51" s="4"/>
      <c r="O51" s="4"/>
      <c r="P51" s="4"/>
    </row>
    <row r="52" spans="1:16" ht="15.75" x14ac:dyDescent="0.25">
      <c r="A52" s="10"/>
      <c r="B52" s="37"/>
      <c r="C52" s="60"/>
      <c r="D52" s="53"/>
      <c r="E52" s="37"/>
      <c r="F52" s="37"/>
      <c r="G52" s="37"/>
      <c r="H52" s="37"/>
      <c r="I52" s="37"/>
      <c r="J52" s="61"/>
      <c r="K52" s="61"/>
      <c r="L52" s="7"/>
      <c r="N52" s="4"/>
      <c r="O52" s="4"/>
      <c r="P52" s="4"/>
    </row>
    <row r="53" spans="1:16" ht="15.75" x14ac:dyDescent="0.25">
      <c r="A53" s="10"/>
      <c r="B53" s="37"/>
      <c r="C53" s="60"/>
      <c r="D53" s="53"/>
      <c r="E53" s="37"/>
      <c r="F53" s="37"/>
      <c r="G53" s="37"/>
      <c r="H53" s="37"/>
      <c r="I53" s="37"/>
      <c r="J53" s="61"/>
      <c r="K53" s="61"/>
      <c r="L53" s="7"/>
      <c r="N53" s="4"/>
      <c r="O53" s="4"/>
      <c r="P53" s="4"/>
    </row>
    <row r="54" spans="1:16" ht="15.75" x14ac:dyDescent="0.25">
      <c r="A54" s="10"/>
      <c r="B54" s="37"/>
      <c r="C54" s="60"/>
      <c r="D54" s="53"/>
      <c r="E54" s="37"/>
      <c r="F54" s="37"/>
      <c r="G54" s="37"/>
      <c r="H54" s="37"/>
      <c r="I54" s="37"/>
      <c r="J54" s="61"/>
      <c r="K54" s="61"/>
      <c r="L54" s="7"/>
      <c r="N54" s="4"/>
      <c r="O54" s="4"/>
      <c r="P54" s="4"/>
    </row>
    <row r="55" spans="1:16" ht="15.75" x14ac:dyDescent="0.25">
      <c r="A55" s="10"/>
      <c r="B55" s="37"/>
      <c r="C55" s="60"/>
      <c r="D55" s="53"/>
      <c r="E55" s="37"/>
      <c r="F55" s="37"/>
      <c r="G55" s="37"/>
      <c r="H55" s="37"/>
      <c r="I55" s="37"/>
      <c r="J55" s="61"/>
      <c r="K55" s="61"/>
      <c r="L55" s="7"/>
      <c r="N55" s="4"/>
      <c r="O55" s="4"/>
      <c r="P55" s="4"/>
    </row>
    <row r="56" spans="1:16" ht="15.75" x14ac:dyDescent="0.25">
      <c r="A56" s="10"/>
      <c r="B56" s="37"/>
      <c r="C56" s="60"/>
      <c r="D56" s="53"/>
      <c r="E56" s="37"/>
      <c r="F56" s="37"/>
      <c r="G56" s="37"/>
      <c r="H56" s="37"/>
      <c r="I56" s="37"/>
      <c r="J56" s="61"/>
      <c r="K56" s="61"/>
      <c r="L56" s="7"/>
      <c r="N56" s="4"/>
      <c r="O56" s="4"/>
      <c r="P56" s="4"/>
    </row>
    <row r="57" spans="1:16" ht="15.75" x14ac:dyDescent="0.25">
      <c r="A57" s="10"/>
      <c r="B57" s="37"/>
      <c r="C57" s="60"/>
      <c r="D57" s="53"/>
      <c r="E57" s="37"/>
      <c r="F57" s="37"/>
      <c r="G57" s="37"/>
      <c r="H57" s="37"/>
      <c r="I57" s="37"/>
      <c r="J57" s="61"/>
      <c r="K57" s="61"/>
      <c r="L57" s="7"/>
      <c r="N57" s="4"/>
      <c r="O57" s="4"/>
      <c r="P57" s="4"/>
    </row>
    <row r="58" spans="1:16" ht="15.75" x14ac:dyDescent="0.25">
      <c r="A58" s="10"/>
      <c r="B58" s="37"/>
      <c r="C58" s="60"/>
      <c r="D58" s="53"/>
      <c r="E58" s="37"/>
      <c r="F58" s="37"/>
      <c r="G58" s="37"/>
      <c r="H58" s="37"/>
      <c r="I58" s="37"/>
      <c r="J58" s="61"/>
      <c r="K58" s="61"/>
      <c r="L58" s="7"/>
      <c r="N58" s="4"/>
      <c r="O58" s="4"/>
      <c r="P58" s="4"/>
    </row>
    <row r="59" spans="1:16" ht="15.75" x14ac:dyDescent="0.25">
      <c r="A59" s="10"/>
      <c r="B59" s="37"/>
      <c r="C59" s="60"/>
      <c r="D59" s="53"/>
      <c r="E59" s="37"/>
      <c r="F59" s="37"/>
      <c r="G59" s="37"/>
      <c r="H59" s="37"/>
      <c r="I59" s="37"/>
      <c r="J59" s="61"/>
      <c r="K59" s="61"/>
      <c r="L59" s="7"/>
      <c r="N59" s="4"/>
      <c r="O59" s="4"/>
      <c r="P59" s="4"/>
    </row>
    <row r="60" spans="1:16" ht="15.75" x14ac:dyDescent="0.25">
      <c r="A60" s="10"/>
      <c r="B60" s="37"/>
      <c r="C60" s="60"/>
      <c r="D60" s="53"/>
      <c r="E60" s="37"/>
      <c r="F60" s="37"/>
      <c r="G60" s="37"/>
      <c r="H60" s="37"/>
      <c r="I60" s="37"/>
      <c r="J60" s="61"/>
      <c r="K60" s="61"/>
      <c r="L60" s="7"/>
      <c r="N60" s="4"/>
      <c r="O60" s="4"/>
      <c r="P60" s="4"/>
    </row>
    <row r="61" spans="1:16" ht="15.75" x14ac:dyDescent="0.25">
      <c r="A61" s="10"/>
      <c r="B61" s="37"/>
      <c r="C61" s="60"/>
      <c r="D61" s="53"/>
      <c r="E61" s="37"/>
      <c r="F61" s="37"/>
      <c r="G61" s="37"/>
      <c r="H61" s="37"/>
      <c r="I61" s="37"/>
      <c r="J61" s="61"/>
      <c r="K61" s="61"/>
      <c r="L61" s="7"/>
      <c r="N61" s="4"/>
      <c r="O61" s="4"/>
      <c r="P61" s="4"/>
    </row>
    <row r="62" spans="1:16" ht="15.75" x14ac:dyDescent="0.25">
      <c r="A62" s="140"/>
      <c r="B62" s="219" t="s">
        <v>62</v>
      </c>
      <c r="C62" s="141"/>
      <c r="D62" s="142"/>
      <c r="E62" s="143"/>
      <c r="F62" s="143"/>
      <c r="G62" s="143"/>
      <c r="H62" s="143"/>
      <c r="I62" s="143"/>
      <c r="J62" s="144"/>
      <c r="K62" s="144"/>
      <c r="L62" s="145"/>
      <c r="N62" s="4"/>
      <c r="O62" s="4"/>
      <c r="P62" s="4"/>
    </row>
    <row r="63" spans="1:16" ht="15" customHeight="1" x14ac:dyDescent="0.3">
      <c r="A63" s="146"/>
      <c r="B63" s="147"/>
      <c r="C63" s="148"/>
      <c r="D63" s="149"/>
      <c r="E63" s="149"/>
      <c r="F63" s="150"/>
      <c r="G63" s="150"/>
      <c r="H63" s="150"/>
      <c r="I63" s="150"/>
      <c r="J63" s="150"/>
      <c r="K63" s="151"/>
      <c r="L63" s="152"/>
      <c r="M63" s="7"/>
      <c r="N63" s="7"/>
      <c r="O63" s="7"/>
      <c r="P63" s="7"/>
    </row>
    <row r="64" spans="1:16" ht="15.75" x14ac:dyDescent="0.25">
      <c r="A64" s="153"/>
      <c r="B64" s="37"/>
      <c r="C64" s="19"/>
      <c r="D64" s="19"/>
      <c r="E64" s="19"/>
      <c r="F64" s="271" t="s">
        <v>32</v>
      </c>
      <c r="G64" s="272"/>
      <c r="H64" s="272"/>
      <c r="I64" s="272"/>
      <c r="J64" s="273"/>
      <c r="K64" s="37"/>
      <c r="L64" s="154"/>
      <c r="M64" s="7"/>
      <c r="N64" s="7"/>
      <c r="O64" s="7"/>
      <c r="P64" s="7"/>
    </row>
    <row r="65" spans="1:16" ht="45.75" thickBot="1" x14ac:dyDescent="0.3">
      <c r="A65" s="153"/>
      <c r="B65" s="37"/>
      <c r="C65" s="256" t="s">
        <v>15</v>
      </c>
      <c r="D65" s="257"/>
      <c r="E65" s="158" t="s">
        <v>63</v>
      </c>
      <c r="F65" s="274" t="s">
        <v>39</v>
      </c>
      <c r="G65" s="275"/>
      <c r="H65" s="159" t="s">
        <v>64</v>
      </c>
      <c r="I65" s="187" t="s">
        <v>65</v>
      </c>
      <c r="J65" s="159" t="s">
        <v>61</v>
      </c>
      <c r="K65" s="37"/>
      <c r="L65" s="154"/>
      <c r="M65" s="7"/>
      <c r="N65" s="7"/>
      <c r="O65" s="7"/>
      <c r="P65" s="7"/>
    </row>
    <row r="66" spans="1:16" ht="15.75" x14ac:dyDescent="0.25">
      <c r="A66" s="153"/>
      <c r="B66" s="37"/>
      <c r="C66" s="160" t="s">
        <v>21</v>
      </c>
      <c r="D66" s="161"/>
      <c r="E66" s="162" t="str">
        <f>IF(GOAL="","",IF(GOAL="PERCENT",E107,IF(GOAL="PERSMON",E94,IF(GOAL="AMT",E81,""))))</f>
        <v/>
      </c>
      <c r="F66" s="276"/>
      <c r="G66" s="277"/>
      <c r="H66" s="163"/>
      <c r="I66" s="164"/>
      <c r="J66" s="165"/>
      <c r="K66" s="37"/>
      <c r="L66" s="154"/>
      <c r="M66" s="7"/>
      <c r="N66" s="7"/>
      <c r="O66" s="7"/>
      <c r="P66" s="7"/>
    </row>
    <row r="67" spans="1:16" ht="9" customHeight="1" x14ac:dyDescent="0.25">
      <c r="A67" s="153"/>
      <c r="B67" s="37"/>
      <c r="C67" s="199"/>
      <c r="D67" s="200"/>
      <c r="E67" s="201"/>
      <c r="F67" s="237"/>
      <c r="G67" s="237"/>
      <c r="H67" s="202"/>
      <c r="I67" s="203"/>
      <c r="J67" s="204"/>
      <c r="K67" s="37"/>
      <c r="L67" s="154"/>
      <c r="M67" s="7"/>
      <c r="N67" s="7"/>
      <c r="O67" s="7"/>
      <c r="P67" s="7"/>
    </row>
    <row r="68" spans="1:16" ht="15.75" x14ac:dyDescent="0.25">
      <c r="A68" s="153"/>
      <c r="B68" s="37"/>
      <c r="C68" s="167" t="s">
        <v>8</v>
      </c>
      <c r="D68" s="168"/>
      <c r="E68" s="169" t="str">
        <f>IF(GOAL="","",IF(GOAL="PERCENT",E109,IF(GOAL="PERSMON",E96,IF(GOAL="AMT",E83,""))))</f>
        <v/>
      </c>
      <c r="F68" s="258" t="str">
        <f>IF(GOAL="","",IF(GOAL="PERCENT",F109,IF(GOAL="PERSMON",F96,IF(GOAL="AMT",F83,""))))</f>
        <v/>
      </c>
      <c r="G68" s="259" t="str">
        <f>IF(GOAL="","",IF(GOAL="PERCENT",G109,IF(GOAL="PERSMON",G96,IF(GOAL="AMT",G83,""))))</f>
        <v/>
      </c>
      <c r="H68" s="170" t="str">
        <f>IF(GOAL="","",IF(GOAL="PERCENT",H109,IF(GOAL="PERSMON",H96,IF(GOAL="AMT",H83,""))))</f>
        <v/>
      </c>
      <c r="I68" s="210" t="str">
        <f>IF(GOAL="","",IF(GOAL="PERCENT",I109,IF(GOAL="PERSMON",I96,IF(GOAL="AMT",I83,""))))</f>
        <v/>
      </c>
      <c r="J68" s="171"/>
      <c r="K68" s="37"/>
      <c r="L68" s="154"/>
      <c r="M68" s="7"/>
      <c r="N68" s="7"/>
      <c r="O68" s="7"/>
      <c r="P68" s="7"/>
    </row>
    <row r="69" spans="1:16" ht="15.75" x14ac:dyDescent="0.25">
      <c r="A69" s="153"/>
      <c r="B69" s="37"/>
      <c r="C69" s="172" t="s">
        <v>5</v>
      </c>
      <c r="D69" s="173"/>
      <c r="E69" s="166" t="str">
        <f>IF(GOAL="","",IF(GOAL="PERCENT",E110,IF(GOAL="PERSMON",E97,IF(GOAL="AMT",E84,""))))</f>
        <v/>
      </c>
      <c r="F69" s="260" t="str">
        <f>IF(GOAL="","",IF(GOAL="PERCENT",F110,IF(GOAL="PERSMON",F97,IF(GOAL="AMT",F84,""))))</f>
        <v/>
      </c>
      <c r="G69" s="261" t="str">
        <f>IF(GOAL="","",IF(GOAL="PERCENT",G110,IF(GOAL="PERSMON",G97,IF(GOAL="AMT",G84,""))))</f>
        <v/>
      </c>
      <c r="H69" s="174"/>
      <c r="I69" s="175"/>
      <c r="J69" s="171"/>
      <c r="K69" s="37"/>
      <c r="L69" s="154"/>
      <c r="M69" s="7"/>
      <c r="N69" s="7"/>
      <c r="O69" s="7"/>
      <c r="P69" s="7"/>
    </row>
    <row r="70" spans="1:16" ht="9" customHeight="1" x14ac:dyDescent="0.25">
      <c r="A70" s="153"/>
      <c r="B70" s="37"/>
      <c r="C70" s="199"/>
      <c r="D70" s="200"/>
      <c r="E70" s="201"/>
      <c r="F70" s="237"/>
      <c r="G70" s="237"/>
      <c r="H70" s="202"/>
      <c r="I70" s="203"/>
      <c r="J70" s="204"/>
      <c r="K70" s="37"/>
      <c r="L70" s="154"/>
      <c r="M70" s="7"/>
      <c r="N70" s="7"/>
      <c r="O70" s="7"/>
      <c r="P70" s="7"/>
    </row>
    <row r="71" spans="1:16" ht="15.75" x14ac:dyDescent="0.25">
      <c r="A71" s="153"/>
      <c r="B71" s="37"/>
      <c r="C71" s="167" t="s">
        <v>10</v>
      </c>
      <c r="D71" s="176"/>
      <c r="E71" s="177" t="str">
        <f>IF(GOAL="","",IF(GOAL="PERCENT",E112,IF(GOAL="PERSMON",E99,IF(GOAL="AMT",E86,""))))</f>
        <v/>
      </c>
      <c r="F71" s="262" t="str">
        <f>IF(GOAL="","",IF(GOAL="PERCENT",F112,IF(GOAL="PERSMON",F99,IF(GOAL="AMT",F86,""))))</f>
        <v/>
      </c>
      <c r="G71" s="263" t="str">
        <f>IF(GOAL="","",IF(GOAL="PERCENT",G112,IF(GOAL="PERSMON",G99,IF(GOAL="AMT",G86,""))))</f>
        <v/>
      </c>
      <c r="H71" s="178" t="str">
        <f>IF(GOAL="","",IF(GOAL="PERCENT",H112,IF(GOAL="PERSMON",H99,IF(GOAL="AMT",H86,""))))</f>
        <v/>
      </c>
      <c r="I71" s="178" t="str">
        <f>IF(GOAL="","",IF(GOAL="PERCENT",I112,IF(GOAL="PERSMON",I99,IF(GOAL="AMT",I86,""))))</f>
        <v/>
      </c>
      <c r="J71" s="171"/>
      <c r="K71" s="37"/>
      <c r="L71" s="154"/>
      <c r="M71" s="7"/>
      <c r="N71" s="7"/>
      <c r="O71" s="7"/>
      <c r="P71" s="7"/>
    </row>
    <row r="72" spans="1:16" ht="9" customHeight="1" x14ac:dyDescent="0.25">
      <c r="A72" s="153"/>
      <c r="B72" s="37"/>
      <c r="C72" s="199"/>
      <c r="D72" s="200"/>
      <c r="E72" s="201"/>
      <c r="F72" s="237"/>
      <c r="G72" s="237"/>
      <c r="H72" s="202"/>
      <c r="I72" s="203"/>
      <c r="J72" s="204"/>
      <c r="K72" s="37"/>
      <c r="L72" s="154"/>
      <c r="M72" s="7"/>
      <c r="N72" s="7"/>
      <c r="O72" s="7"/>
      <c r="P72" s="7"/>
    </row>
    <row r="73" spans="1:16" s="17" customFormat="1" ht="15.75" x14ac:dyDescent="0.25">
      <c r="A73" s="155"/>
      <c r="B73" s="131"/>
      <c r="C73" s="179" t="s">
        <v>66</v>
      </c>
      <c r="D73" s="180"/>
      <c r="E73" s="181" t="str">
        <f t="shared" ref="E73:J73" si="0">IF(GOAL="","",IF(GOAL="PERCENT",E113,IF(GOAL="PERSMON",E100,IF(GOAL="AMT",E87,""))))</f>
        <v/>
      </c>
      <c r="F73" s="264" t="str">
        <f t="shared" si="0"/>
        <v/>
      </c>
      <c r="G73" s="265" t="str">
        <f t="shared" si="0"/>
        <v/>
      </c>
      <c r="H73" s="182" t="str">
        <f t="shared" si="0"/>
        <v/>
      </c>
      <c r="I73" s="183" t="str">
        <f t="shared" si="0"/>
        <v/>
      </c>
      <c r="J73" s="184" t="str">
        <f t="shared" si="0"/>
        <v/>
      </c>
      <c r="K73" s="131"/>
      <c r="L73" s="156"/>
      <c r="M73" s="18"/>
      <c r="N73" s="18"/>
      <c r="O73" s="18"/>
      <c r="P73" s="18"/>
    </row>
    <row r="74" spans="1:16" ht="15.75" x14ac:dyDescent="0.25">
      <c r="A74" s="153"/>
      <c r="B74" s="37"/>
      <c r="C74" s="167" t="s">
        <v>68</v>
      </c>
      <c r="D74" s="176"/>
      <c r="E74" s="185" t="str">
        <f t="shared" ref="E74:I76" si="1">IF(GOAL="","",IF(GOAL="PERCENT",E114,IF(GOAL="PERSMON",E101,IF(GOAL="AMT",E88,""))))</f>
        <v/>
      </c>
      <c r="F74" s="268" t="str">
        <f t="shared" si="1"/>
        <v/>
      </c>
      <c r="G74" s="269" t="str">
        <f t="shared" si="1"/>
        <v/>
      </c>
      <c r="H74" s="178" t="str">
        <f t="shared" si="1"/>
        <v/>
      </c>
      <c r="I74" s="178" t="str">
        <f t="shared" si="1"/>
        <v/>
      </c>
      <c r="J74" s="186"/>
      <c r="K74" s="37"/>
      <c r="L74" s="154"/>
      <c r="M74" s="7"/>
      <c r="N74" s="7"/>
      <c r="O74" s="7"/>
      <c r="P74" s="7"/>
    </row>
    <row r="75" spans="1:16" s="17" customFormat="1" ht="15.75" x14ac:dyDescent="0.25">
      <c r="A75" s="155"/>
      <c r="B75" s="131"/>
      <c r="C75" s="205" t="s">
        <v>67</v>
      </c>
      <c r="D75" s="206"/>
      <c r="E75" s="181" t="str">
        <f t="shared" si="1"/>
        <v/>
      </c>
      <c r="F75" s="235" t="str">
        <f t="shared" si="1"/>
        <v/>
      </c>
      <c r="G75" s="236" t="str">
        <f t="shared" si="1"/>
        <v/>
      </c>
      <c r="H75" s="182" t="str">
        <f t="shared" si="1"/>
        <v/>
      </c>
      <c r="I75" s="183" t="str">
        <f t="shared" si="1"/>
        <v/>
      </c>
      <c r="J75" s="207" t="str">
        <f>IF(GOAL="","",IF(GOAL="PERCENT",J115,IF(GOAL="PERSMON",J102,IF(GOAL="AMT",J89,""))))</f>
        <v/>
      </c>
      <c r="K75" s="131"/>
      <c r="L75" s="156"/>
      <c r="M75" s="18"/>
      <c r="N75" s="18"/>
      <c r="O75" s="18"/>
      <c r="P75" s="18"/>
    </row>
    <row r="76" spans="1:16" ht="15.75" x14ac:dyDescent="0.25">
      <c r="A76" s="153"/>
      <c r="B76" s="37"/>
      <c r="C76" s="167" t="s">
        <v>69</v>
      </c>
      <c r="D76" s="180"/>
      <c r="E76" s="185" t="str">
        <f t="shared" si="1"/>
        <v/>
      </c>
      <c r="F76" s="268" t="str">
        <f t="shared" si="1"/>
        <v/>
      </c>
      <c r="G76" s="269" t="str">
        <f t="shared" si="1"/>
        <v/>
      </c>
      <c r="H76" s="208" t="str">
        <f t="shared" si="1"/>
        <v/>
      </c>
      <c r="I76" s="178" t="str">
        <f t="shared" si="1"/>
        <v/>
      </c>
      <c r="J76" s="209" t="str">
        <f>IF(GOAL="","",IF(GOAL="PERCENT",J116,IF(GOAL="PERSMON",J103,IF(GOAL="AMT",J90,""))))</f>
        <v/>
      </c>
      <c r="K76" s="37"/>
      <c r="L76" s="154"/>
      <c r="M76" s="7"/>
      <c r="N76" s="7"/>
      <c r="O76" s="7"/>
      <c r="P76" s="7"/>
    </row>
    <row r="77" spans="1:16" ht="15.75" x14ac:dyDescent="0.25">
      <c r="A77" s="153"/>
      <c r="B77" s="37"/>
      <c r="C77" s="189" t="s">
        <v>70</v>
      </c>
      <c r="D77" s="190"/>
      <c r="E77" s="191"/>
      <c r="F77" s="192"/>
      <c r="G77" s="192"/>
      <c r="H77" s="193"/>
      <c r="I77" s="194"/>
      <c r="J77" s="195"/>
      <c r="K77" s="37"/>
      <c r="L77" s="154"/>
      <c r="M77" s="7"/>
      <c r="N77" s="7"/>
      <c r="O77" s="7"/>
      <c r="P77" s="7"/>
    </row>
    <row r="78" spans="1:16" customFormat="1" ht="15.75" customHeight="1" x14ac:dyDescent="0.25">
      <c r="A78" s="21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218"/>
    </row>
    <row r="79" spans="1:16" ht="16.5" hidden="1" customHeight="1" thickBot="1" x14ac:dyDescent="0.3">
      <c r="A79" s="10" t="s">
        <v>18</v>
      </c>
      <c r="B79" s="21"/>
      <c r="C79" s="19" t="s">
        <v>26</v>
      </c>
      <c r="D79" s="19"/>
      <c r="E79" s="19"/>
      <c r="F79" s="19"/>
      <c r="G79" s="19"/>
      <c r="H79" s="62"/>
      <c r="I79" s="62"/>
      <c r="J79" s="62"/>
      <c r="K79" s="21"/>
      <c r="L79" s="7"/>
      <c r="M79" s="7"/>
      <c r="N79" s="7"/>
      <c r="O79" s="7"/>
      <c r="P79" s="7"/>
    </row>
    <row r="80" spans="1:16" ht="79.5" hidden="1" customHeight="1" x14ac:dyDescent="0.25">
      <c r="A80" s="10" t="s">
        <v>18</v>
      </c>
      <c r="B80" s="21"/>
      <c r="C80" s="254" t="str">
        <f>+C$65</f>
        <v>TIME PERIOD CALCULATIONS</v>
      </c>
      <c r="D80" s="255"/>
      <c r="E80" s="94" t="str">
        <f>+E$65</f>
        <v>Goal Effort (dollars adjusted for earnings)</v>
      </c>
      <c r="F80" s="94" t="str">
        <f>+F$65</f>
        <v>For entry on SPS Salary Calculator</v>
      </c>
      <c r="G80" s="94"/>
      <c r="H80" s="95" t="str">
        <f>+H$65</f>
        <v>% of Activity
on PA
(reference only)</v>
      </c>
      <c r="I80" s="96" t="str">
        <f>+I$65</f>
        <v>Effective Effort
(based on actual salary charged)</v>
      </c>
      <c r="J80" s="97" t="str">
        <f>+J$65</f>
        <v>Commitment to enter into ERC system</v>
      </c>
      <c r="K80" s="21"/>
      <c r="L80" s="7"/>
      <c r="M80" s="7"/>
      <c r="N80" s="7"/>
      <c r="O80" s="7"/>
    </row>
    <row r="81" spans="1:15" ht="18" hidden="1" customHeight="1" x14ac:dyDescent="0.25">
      <c r="A81" s="10" t="s">
        <v>18</v>
      </c>
      <c r="B81" s="21"/>
      <c r="C81" s="63" t="s">
        <v>21</v>
      </c>
      <c r="D81" s="64"/>
      <c r="E81" s="98">
        <f>+PayPeriods</f>
        <v>0</v>
      </c>
      <c r="F81" s="99"/>
      <c r="G81" s="99"/>
      <c r="H81" s="65"/>
      <c r="I81" s="66"/>
      <c r="J81" s="67"/>
      <c r="K81" s="21"/>
      <c r="L81" s="7"/>
      <c r="M81" s="7"/>
      <c r="N81" s="7"/>
      <c r="O81" s="7"/>
    </row>
    <row r="82" spans="1:15" ht="18" hidden="1" customHeight="1" x14ac:dyDescent="0.25">
      <c r="A82" s="10" t="s">
        <v>18</v>
      </c>
      <c r="B82" s="21"/>
      <c r="C82" s="63"/>
      <c r="D82" s="64"/>
      <c r="E82" s="98"/>
      <c r="F82" s="99"/>
      <c r="G82" s="99"/>
      <c r="H82" s="65"/>
      <c r="I82" s="66"/>
      <c r="J82" s="67"/>
      <c r="K82" s="21"/>
      <c r="L82" s="7"/>
      <c r="M82" s="7"/>
      <c r="N82" s="7"/>
      <c r="O82" s="7"/>
    </row>
    <row r="83" spans="1:15" ht="15.75" hidden="1" customHeight="1" x14ac:dyDescent="0.25">
      <c r="A83" s="10" t="s">
        <v>18</v>
      </c>
      <c r="B83" s="21"/>
      <c r="C83" s="68" t="s">
        <v>8</v>
      </c>
      <c r="D83" s="69"/>
      <c r="E83" s="100" t="e">
        <f>+E86/EarnSal</f>
        <v>#DIV/0!</v>
      </c>
      <c r="F83" s="70" t="e">
        <f>+F87+F89</f>
        <v>#DIV/0!</v>
      </c>
      <c r="G83" s="70"/>
      <c r="H83" s="70" t="e">
        <f>+H87+H89</f>
        <v>#DIV/0!</v>
      </c>
      <c r="I83" s="100" t="e">
        <f>+I88/EarnSalCap</f>
        <v>#DIV/0!</v>
      </c>
      <c r="J83" s="71"/>
      <c r="K83" s="21"/>
      <c r="L83" s="7"/>
      <c r="M83" s="7"/>
      <c r="N83" s="7"/>
      <c r="O83" s="7"/>
    </row>
    <row r="84" spans="1:15" ht="15.75" hidden="1" customHeight="1" x14ac:dyDescent="0.25">
      <c r="A84" s="10" t="s">
        <v>18</v>
      </c>
      <c r="B84" s="21"/>
      <c r="C84" s="72" t="s">
        <v>5</v>
      </c>
      <c r="D84" s="73"/>
      <c r="E84" s="98" t="e">
        <f>E83*PayPeriods/26*12</f>
        <v>#DIV/0!</v>
      </c>
      <c r="F84" s="98" t="e">
        <f>+E84</f>
        <v>#DIV/0!</v>
      </c>
      <c r="G84" s="98"/>
      <c r="H84" s="74"/>
      <c r="I84" s="75"/>
      <c r="J84" s="71"/>
      <c r="K84" s="21"/>
      <c r="L84" s="7"/>
      <c r="M84" s="7"/>
      <c r="N84" s="7"/>
      <c r="O84" s="7"/>
    </row>
    <row r="85" spans="1:15" ht="15.75" hidden="1" customHeight="1" x14ac:dyDescent="0.25">
      <c r="A85" s="10" t="s">
        <v>18</v>
      </c>
      <c r="B85" s="21"/>
      <c r="C85" s="72"/>
      <c r="D85" s="73"/>
      <c r="E85" s="101"/>
      <c r="F85" s="102"/>
      <c r="G85" s="102"/>
      <c r="H85" s="74"/>
      <c r="I85" s="75"/>
      <c r="J85" s="71"/>
      <c r="K85" s="21"/>
      <c r="L85" s="7"/>
      <c r="M85" s="7"/>
      <c r="N85" s="7"/>
      <c r="O85" s="7"/>
    </row>
    <row r="86" spans="1:15" ht="15.75" hidden="1" customHeight="1" x14ac:dyDescent="0.25">
      <c r="A86" s="10" t="s">
        <v>18</v>
      </c>
      <c r="B86" s="21"/>
      <c r="C86" s="68" t="s">
        <v>10</v>
      </c>
      <c r="D86" s="76"/>
      <c r="E86" s="77">
        <f>+E88+E90</f>
        <v>0</v>
      </c>
      <c r="F86" s="77" t="e">
        <f>+F88+F90</f>
        <v>#DIV/0!</v>
      </c>
      <c r="G86" s="77"/>
      <c r="H86" s="77" t="e">
        <f>+H83*EligSal</f>
        <v>#DIV/0!</v>
      </c>
      <c r="I86" s="77" t="e">
        <f>+I83*EarnSal</f>
        <v>#DIV/0!</v>
      </c>
      <c r="J86" s="71"/>
      <c r="K86" s="21"/>
      <c r="L86" s="7"/>
      <c r="M86" s="7"/>
      <c r="N86" s="7"/>
      <c r="O86" s="7"/>
    </row>
    <row r="87" spans="1:15" ht="15.75" hidden="1" customHeight="1" x14ac:dyDescent="0.25">
      <c r="A87" s="10" t="s">
        <v>18</v>
      </c>
      <c r="B87" s="21"/>
      <c r="C87" s="78" t="s">
        <v>60</v>
      </c>
      <c r="D87" s="79"/>
      <c r="E87" s="103" t="e">
        <f>+E88/EarnSal</f>
        <v>#DIV/0!</v>
      </c>
      <c r="F87" s="104" t="e">
        <f>+E87</f>
        <v>#DIV/0!</v>
      </c>
      <c r="G87" s="104"/>
      <c r="H87" s="80" t="e">
        <f>+ROUND(F87/VLOOKUP(Appt,$N$2:$P$5,3,FALSE),2)</f>
        <v>#DIV/0!</v>
      </c>
      <c r="I87" s="81" t="e">
        <f>+I88/EarnSal</f>
        <v>#DIV/0!</v>
      </c>
      <c r="J87" s="82" t="e">
        <f>+E87</f>
        <v>#DIV/0!</v>
      </c>
      <c r="K87" s="21"/>
      <c r="L87" s="7"/>
      <c r="M87" s="7"/>
      <c r="N87" s="7"/>
      <c r="O87" s="7"/>
    </row>
    <row r="88" spans="1:15" ht="15.75" hidden="1" customHeight="1" x14ac:dyDescent="0.25">
      <c r="A88" s="10" t="s">
        <v>18</v>
      </c>
      <c r="B88" s="21"/>
      <c r="C88" s="68" t="s">
        <v>4</v>
      </c>
      <c r="D88" s="76"/>
      <c r="E88" s="105">
        <f>+GoalAmt</f>
        <v>0</v>
      </c>
      <c r="F88" s="106" t="e">
        <f>+F87*EarnSal</f>
        <v>#DIV/0!</v>
      </c>
      <c r="G88" s="106"/>
      <c r="H88" s="77" t="e">
        <f>+H87*EligSal</f>
        <v>#DIV/0!</v>
      </c>
      <c r="I88" s="77" t="e">
        <f>+H88</f>
        <v>#DIV/0!</v>
      </c>
      <c r="J88" s="83"/>
      <c r="K88" s="21"/>
      <c r="L88" s="7"/>
      <c r="M88" s="7"/>
      <c r="N88" s="7"/>
      <c r="O88" s="7"/>
    </row>
    <row r="89" spans="1:15" ht="16.5" hidden="1" customHeight="1" thickBot="1" x14ac:dyDescent="0.3">
      <c r="A89" s="10" t="s">
        <v>18</v>
      </c>
      <c r="B89" s="21"/>
      <c r="C89" s="84" t="s">
        <v>14</v>
      </c>
      <c r="D89" s="85"/>
      <c r="E89" s="107" t="e">
        <f>+E90/EarnSal</f>
        <v>#DIV/0!</v>
      </c>
      <c r="F89" s="108" t="e">
        <f>IF(D27="Yes",E89,ROUNDUP(E89,2))</f>
        <v>#DIV/0!</v>
      </c>
      <c r="G89" s="108"/>
      <c r="H89" s="86" t="e">
        <f>+F89</f>
        <v>#DIV/0!</v>
      </c>
      <c r="I89" s="87" t="e">
        <f>+I90/EarnSal</f>
        <v>#DIV/0!</v>
      </c>
      <c r="J89" s="88" t="e">
        <f>+IF(I89&gt;E89,I89,E89)</f>
        <v>#DIV/0!</v>
      </c>
      <c r="K89" s="21"/>
      <c r="L89" s="7"/>
      <c r="M89" s="7"/>
      <c r="N89" s="7"/>
      <c r="O89" s="7"/>
    </row>
    <row r="90" spans="1:15" ht="17.25" hidden="1" customHeight="1" thickTop="1" thickBot="1" x14ac:dyDescent="0.3">
      <c r="A90" s="10" t="s">
        <v>18</v>
      </c>
      <c r="B90" s="21"/>
      <c r="C90" s="89" t="s">
        <v>9</v>
      </c>
      <c r="D90" s="90"/>
      <c r="E90" s="109">
        <f>IF(CapRate=0,0,E88/CapRate*(1-CapRate))</f>
        <v>0</v>
      </c>
      <c r="F90" s="110" t="e">
        <f>+F89*EarnSal</f>
        <v>#DIV/0!</v>
      </c>
      <c r="G90" s="110"/>
      <c r="H90" s="91" t="e">
        <f>+H86-H88</f>
        <v>#DIV/0!</v>
      </c>
      <c r="I90" s="92" t="e">
        <f>+I86-I88</f>
        <v>#DIV/0!</v>
      </c>
      <c r="J90" s="93"/>
      <c r="K90" s="21"/>
      <c r="L90" s="7"/>
      <c r="M90" s="7"/>
      <c r="N90" s="7"/>
      <c r="O90" s="7"/>
    </row>
    <row r="91" spans="1:15" ht="15.75" hidden="1" customHeight="1" x14ac:dyDescent="0.25">
      <c r="A91" s="10" t="s">
        <v>18</v>
      </c>
      <c r="B91" s="21"/>
      <c r="C91" s="43"/>
      <c r="D91" s="43"/>
      <c r="E91" s="62"/>
      <c r="F91" s="37"/>
      <c r="G91" s="37"/>
      <c r="H91" s="37"/>
      <c r="I91" s="37"/>
      <c r="J91" s="37"/>
      <c r="K91" s="21"/>
      <c r="L91" s="7"/>
      <c r="M91" s="7"/>
      <c r="N91" s="7"/>
      <c r="O91" s="7"/>
    </row>
    <row r="92" spans="1:15" ht="16.5" hidden="1" customHeight="1" thickBot="1" x14ac:dyDescent="0.3">
      <c r="A92" s="10" t="s">
        <v>18</v>
      </c>
      <c r="B92" s="21"/>
      <c r="C92" s="19" t="s">
        <v>27</v>
      </c>
      <c r="D92" s="19"/>
      <c r="E92" s="19"/>
      <c r="F92" s="62"/>
      <c r="G92" s="62"/>
      <c r="H92" s="62"/>
      <c r="I92" s="62"/>
      <c r="J92" s="62"/>
      <c r="K92" s="21"/>
      <c r="L92" s="7"/>
      <c r="M92" s="7"/>
      <c r="N92" s="7"/>
      <c r="O92" s="7"/>
    </row>
    <row r="93" spans="1:15" ht="79.5" hidden="1" customHeight="1" x14ac:dyDescent="0.25">
      <c r="A93" s="10" t="s">
        <v>18</v>
      </c>
      <c r="B93" s="21"/>
      <c r="C93" s="254" t="str">
        <f>+C$65</f>
        <v>TIME PERIOD CALCULATIONS</v>
      </c>
      <c r="D93" s="255"/>
      <c r="E93" s="94" t="str">
        <f>+E$65</f>
        <v>Goal Effort (dollars adjusted for earnings)</v>
      </c>
      <c r="F93" s="94" t="str">
        <f>+F$65</f>
        <v>For entry on SPS Salary Calculator</v>
      </c>
      <c r="G93" s="94"/>
      <c r="H93" s="95" t="str">
        <f>+H$65</f>
        <v>% of Activity
on PA
(reference only)</v>
      </c>
      <c r="I93" s="96" t="str">
        <f>+I$65</f>
        <v>Effective Effort
(based on actual salary charged)</v>
      </c>
      <c r="J93" s="97" t="str">
        <f>+J$65</f>
        <v>Commitment to enter into ERC system</v>
      </c>
      <c r="K93" s="21"/>
      <c r="L93" s="7"/>
      <c r="M93" s="7"/>
      <c r="N93" s="7"/>
      <c r="O93" s="7"/>
    </row>
    <row r="94" spans="1:15" ht="18" hidden="1" customHeight="1" x14ac:dyDescent="0.25">
      <c r="A94" s="10" t="s">
        <v>18</v>
      </c>
      <c r="B94" s="21"/>
      <c r="C94" s="63" t="s">
        <v>21</v>
      </c>
      <c r="D94" s="64"/>
      <c r="E94" s="98">
        <f>+PayPeriods</f>
        <v>0</v>
      </c>
      <c r="F94" s="99"/>
      <c r="G94" s="99"/>
      <c r="H94" s="65"/>
      <c r="I94" s="66"/>
      <c r="J94" s="67"/>
      <c r="K94" s="21"/>
      <c r="L94" s="7"/>
      <c r="M94" s="7"/>
      <c r="N94" s="7"/>
      <c r="O94" s="7"/>
    </row>
    <row r="95" spans="1:15" ht="18" hidden="1" customHeight="1" x14ac:dyDescent="0.25">
      <c r="A95" s="10" t="s">
        <v>18</v>
      </c>
      <c r="B95" s="21"/>
      <c r="C95" s="63"/>
      <c r="D95" s="64"/>
      <c r="E95" s="98"/>
      <c r="F95" s="99"/>
      <c r="G95" s="99"/>
      <c r="H95" s="65"/>
      <c r="I95" s="66"/>
      <c r="J95" s="67"/>
      <c r="K95" s="21"/>
      <c r="L95" s="7"/>
      <c r="M95" s="7"/>
      <c r="N95" s="7"/>
      <c r="O95" s="7"/>
    </row>
    <row r="96" spans="1:15" ht="15.75" hidden="1" customHeight="1" x14ac:dyDescent="0.25">
      <c r="A96" s="10" t="s">
        <v>18</v>
      </c>
      <c r="B96" s="21"/>
      <c r="C96" s="68" t="s">
        <v>8</v>
      </c>
      <c r="D96" s="69"/>
      <c r="E96" s="100" t="e">
        <f>+E97*26/PayPeriods/12</f>
        <v>#DIV/0!</v>
      </c>
      <c r="F96" s="70" t="e">
        <f>+F100+F102</f>
        <v>#DIV/0!</v>
      </c>
      <c r="G96" s="70"/>
      <c r="H96" s="70" t="e">
        <f>+H100+H102</f>
        <v>#DIV/0!</v>
      </c>
      <c r="I96" s="100" t="e">
        <f>+I101/EarnSalCap</f>
        <v>#DIV/0!</v>
      </c>
      <c r="J96" s="71"/>
      <c r="K96" s="21"/>
      <c r="L96" s="7"/>
      <c r="M96" s="7"/>
      <c r="N96" s="7"/>
      <c r="O96" s="7"/>
    </row>
    <row r="97" spans="1:15" ht="15.75" hidden="1" customHeight="1" x14ac:dyDescent="0.25">
      <c r="A97" s="10" t="s">
        <v>18</v>
      </c>
      <c r="B97" s="21"/>
      <c r="C97" s="72" t="s">
        <v>5</v>
      </c>
      <c r="D97" s="73"/>
      <c r="E97" s="98">
        <f>+GoalPersMon</f>
        <v>0</v>
      </c>
      <c r="F97" s="98">
        <f>+E97</f>
        <v>0</v>
      </c>
      <c r="G97" s="98"/>
      <c r="H97" s="74"/>
      <c r="I97" s="75"/>
      <c r="J97" s="71"/>
      <c r="K97" s="21"/>
      <c r="L97" s="7"/>
      <c r="M97" s="7"/>
      <c r="N97" s="7"/>
      <c r="O97" s="7"/>
    </row>
    <row r="98" spans="1:15" ht="15.75" hidden="1" customHeight="1" x14ac:dyDescent="0.25">
      <c r="A98" s="10" t="s">
        <v>18</v>
      </c>
      <c r="B98" s="21"/>
      <c r="C98" s="72"/>
      <c r="D98" s="73"/>
      <c r="E98" s="101"/>
      <c r="F98" s="102"/>
      <c r="G98" s="102"/>
      <c r="H98" s="74"/>
      <c r="I98" s="75"/>
      <c r="J98" s="71"/>
      <c r="K98" s="21"/>
      <c r="L98" s="7"/>
      <c r="M98" s="7"/>
      <c r="N98" s="7"/>
      <c r="O98" s="7"/>
    </row>
    <row r="99" spans="1:15" ht="15.75" hidden="1" customHeight="1" x14ac:dyDescent="0.25">
      <c r="A99" s="10" t="s">
        <v>18</v>
      </c>
      <c r="B99" s="21"/>
      <c r="C99" s="68" t="s">
        <v>10</v>
      </c>
      <c r="D99" s="76"/>
      <c r="E99" s="77" t="e">
        <f>+E101+E103</f>
        <v>#DIV/0!</v>
      </c>
      <c r="F99" s="77" t="e">
        <f>+F101+F103</f>
        <v>#DIV/0!</v>
      </c>
      <c r="G99" s="77"/>
      <c r="H99" s="77" t="e">
        <f>+H96*EligSal</f>
        <v>#DIV/0!</v>
      </c>
      <c r="I99" s="77" t="e">
        <f>+I96*EarnSal</f>
        <v>#DIV/0!</v>
      </c>
      <c r="J99" s="71"/>
      <c r="K99" s="21"/>
      <c r="L99" s="7"/>
      <c r="M99" s="7"/>
      <c r="N99" s="7"/>
      <c r="O99" s="7"/>
    </row>
    <row r="100" spans="1:15" ht="15.75" hidden="1" customHeight="1" x14ac:dyDescent="0.25">
      <c r="A100" s="10" t="s">
        <v>18</v>
      </c>
      <c r="B100" s="21"/>
      <c r="C100" s="78" t="s">
        <v>60</v>
      </c>
      <c r="D100" s="79"/>
      <c r="E100" s="103" t="e">
        <f>+E101/EarnSal</f>
        <v>#DIV/0!</v>
      </c>
      <c r="F100" s="104" t="e">
        <f>+E100</f>
        <v>#DIV/0!</v>
      </c>
      <c r="G100" s="104"/>
      <c r="H100" s="80" t="e">
        <f>+ROUND(F100/VLOOKUP(Appt,$N$2:$P$5,3,FALSE),2)</f>
        <v>#DIV/0!</v>
      </c>
      <c r="I100" s="81" t="e">
        <f>+I101/EarnSal</f>
        <v>#DIV/0!</v>
      </c>
      <c r="J100" s="82" t="e">
        <f>+E100</f>
        <v>#DIV/0!</v>
      </c>
      <c r="K100" s="21"/>
      <c r="L100" s="7"/>
      <c r="M100" s="7"/>
      <c r="N100" s="7"/>
      <c r="O100" s="7"/>
    </row>
    <row r="101" spans="1:15" ht="15.75" hidden="1" customHeight="1" x14ac:dyDescent="0.25">
      <c r="A101" s="10" t="s">
        <v>18</v>
      </c>
      <c r="B101" s="21"/>
      <c r="C101" s="68" t="s">
        <v>4</v>
      </c>
      <c r="D101" s="76"/>
      <c r="E101" s="105" t="e">
        <f>+E96*EarnSalCap</f>
        <v>#DIV/0!</v>
      </c>
      <c r="F101" s="106" t="e">
        <f>+F100*EarnSal</f>
        <v>#DIV/0!</v>
      </c>
      <c r="G101" s="106"/>
      <c r="H101" s="77" t="e">
        <f>+H100*EligSal</f>
        <v>#DIV/0!</v>
      </c>
      <c r="I101" s="77" t="e">
        <f>+H101</f>
        <v>#DIV/0!</v>
      </c>
      <c r="J101" s="83"/>
      <c r="K101" s="21"/>
      <c r="L101" s="7"/>
      <c r="M101" s="7"/>
      <c r="N101" s="7"/>
      <c r="O101" s="7"/>
    </row>
    <row r="102" spans="1:15" ht="16.5" hidden="1" customHeight="1" thickBot="1" x14ac:dyDescent="0.3">
      <c r="A102" s="10" t="s">
        <v>18</v>
      </c>
      <c r="B102" s="21"/>
      <c r="C102" s="84" t="s">
        <v>14</v>
      </c>
      <c r="D102" s="85"/>
      <c r="E102" s="107" t="e">
        <f>+E103/EarnSal</f>
        <v>#DIV/0!</v>
      </c>
      <c r="F102" s="108" t="e">
        <f>IF(SummerEff="Yes",E102,ROUNDUP(E102,2))</f>
        <v>#DIV/0!</v>
      </c>
      <c r="G102" s="108"/>
      <c r="H102" s="86" t="e">
        <f>+F102</f>
        <v>#DIV/0!</v>
      </c>
      <c r="I102" s="87" t="e">
        <f>+I103/EarnSal</f>
        <v>#DIV/0!</v>
      </c>
      <c r="J102" s="88" t="e">
        <f>+IF(I102&gt;E102,I102,E102)</f>
        <v>#DIV/0!</v>
      </c>
      <c r="K102" s="21"/>
      <c r="L102" s="7"/>
      <c r="M102" s="7"/>
      <c r="N102" s="7"/>
      <c r="O102" s="7"/>
    </row>
    <row r="103" spans="1:15" ht="17.25" hidden="1" customHeight="1" thickTop="1" thickBot="1" x14ac:dyDescent="0.3">
      <c r="A103" s="10" t="s">
        <v>18</v>
      </c>
      <c r="B103" s="21"/>
      <c r="C103" s="89" t="s">
        <v>9</v>
      </c>
      <c r="D103" s="90"/>
      <c r="E103" s="109">
        <f>IF(CapRate=0,0,E101/CapRate*(1-CapRate))</f>
        <v>0</v>
      </c>
      <c r="F103" s="110" t="e">
        <f>+F102*EarnSal</f>
        <v>#DIV/0!</v>
      </c>
      <c r="G103" s="110"/>
      <c r="H103" s="91" t="e">
        <f>+H99-H101</f>
        <v>#DIV/0!</v>
      </c>
      <c r="I103" s="92" t="e">
        <f>+I99-I101</f>
        <v>#DIV/0!</v>
      </c>
      <c r="J103" s="93"/>
      <c r="K103" s="21"/>
      <c r="L103" s="7"/>
      <c r="M103" s="7"/>
      <c r="N103" s="7"/>
      <c r="O103" s="7"/>
    </row>
    <row r="104" spans="1:15" ht="15.75" hidden="1" customHeight="1" x14ac:dyDescent="0.25">
      <c r="A104" s="10" t="s">
        <v>18</v>
      </c>
      <c r="B104" s="21"/>
      <c r="C104" s="43"/>
      <c r="D104" s="43"/>
      <c r="E104" s="37"/>
      <c r="F104" s="37"/>
      <c r="G104" s="37"/>
      <c r="H104" s="37"/>
      <c r="I104" s="37"/>
      <c r="J104" s="37"/>
      <c r="K104" s="21"/>
      <c r="L104" s="7"/>
      <c r="M104" s="7"/>
      <c r="N104" s="7"/>
      <c r="O104" s="7"/>
    </row>
    <row r="105" spans="1:15" ht="16.5" hidden="1" customHeight="1" thickBot="1" x14ac:dyDescent="0.3">
      <c r="A105" s="10" t="s">
        <v>18</v>
      </c>
      <c r="B105" s="21"/>
      <c r="C105" s="19" t="s">
        <v>28</v>
      </c>
      <c r="D105" s="19"/>
      <c r="E105" s="19"/>
      <c r="F105" s="62"/>
      <c r="G105" s="62"/>
      <c r="H105" s="62"/>
      <c r="I105" s="62"/>
      <c r="J105" s="62"/>
      <c r="K105" s="21"/>
      <c r="L105" s="7"/>
      <c r="M105" s="7"/>
      <c r="N105" s="7"/>
      <c r="O105" s="7"/>
    </row>
    <row r="106" spans="1:15" ht="79.5" hidden="1" customHeight="1" x14ac:dyDescent="0.25">
      <c r="A106" s="10" t="s">
        <v>18</v>
      </c>
      <c r="B106" s="21"/>
      <c r="C106" s="254" t="str">
        <f>+C$65</f>
        <v>TIME PERIOD CALCULATIONS</v>
      </c>
      <c r="D106" s="255"/>
      <c r="E106" s="94" t="str">
        <f>+E$65</f>
        <v>Goal Effort (dollars adjusted for earnings)</v>
      </c>
      <c r="F106" s="94" t="str">
        <f>+F$65</f>
        <v>For entry on SPS Salary Calculator</v>
      </c>
      <c r="G106" s="94"/>
      <c r="H106" s="95" t="str">
        <f>+H$65</f>
        <v>% of Activity
on PA
(reference only)</v>
      </c>
      <c r="I106" s="96" t="str">
        <f>+I$65</f>
        <v>Effective Effort
(based on actual salary charged)</v>
      </c>
      <c r="J106" s="97" t="str">
        <f>+J$65</f>
        <v>Commitment to enter into ERC system</v>
      </c>
      <c r="K106" s="21"/>
      <c r="L106" s="7"/>
      <c r="M106" s="7"/>
      <c r="N106" s="7"/>
      <c r="O106" s="7"/>
    </row>
    <row r="107" spans="1:15" ht="18" hidden="1" customHeight="1" x14ac:dyDescent="0.25">
      <c r="A107" s="10" t="s">
        <v>18</v>
      </c>
      <c r="B107" s="21"/>
      <c r="C107" s="63" t="s">
        <v>21</v>
      </c>
      <c r="D107" s="64"/>
      <c r="E107" s="98">
        <f>+PayPeriods</f>
        <v>0</v>
      </c>
      <c r="F107" s="99"/>
      <c r="G107" s="99"/>
      <c r="H107" s="65"/>
      <c r="I107" s="66"/>
      <c r="J107" s="67"/>
      <c r="K107" s="21"/>
      <c r="L107" s="7"/>
      <c r="M107" s="7"/>
      <c r="N107" s="7"/>
      <c r="O107" s="7"/>
    </row>
    <row r="108" spans="1:15" ht="18" hidden="1" customHeight="1" x14ac:dyDescent="0.25">
      <c r="A108" s="10" t="s">
        <v>18</v>
      </c>
      <c r="B108" s="21"/>
      <c r="C108" s="63"/>
      <c r="D108" s="64"/>
      <c r="E108" s="98"/>
      <c r="F108" s="99"/>
      <c r="G108" s="99"/>
      <c r="H108" s="65"/>
      <c r="I108" s="66"/>
      <c r="J108" s="67"/>
      <c r="K108" s="21"/>
      <c r="L108" s="7"/>
      <c r="M108" s="7"/>
      <c r="N108" s="7"/>
      <c r="O108" s="7"/>
    </row>
    <row r="109" spans="1:15" ht="15.75" hidden="1" customHeight="1" x14ac:dyDescent="0.25">
      <c r="A109" s="10" t="s">
        <v>18</v>
      </c>
      <c r="B109" s="21"/>
      <c r="C109" s="68" t="s">
        <v>8</v>
      </c>
      <c r="D109" s="69"/>
      <c r="E109" s="100">
        <f>+GoalPercEff</f>
        <v>0</v>
      </c>
      <c r="F109" s="70" t="e">
        <f>+F113+F115</f>
        <v>#DIV/0!</v>
      </c>
      <c r="G109" s="70"/>
      <c r="H109" s="70" t="e">
        <f>+H113+H115</f>
        <v>#DIV/0!</v>
      </c>
      <c r="I109" s="100" t="e">
        <f>+I114/EarnSalCap</f>
        <v>#DIV/0!</v>
      </c>
      <c r="J109" s="71"/>
      <c r="K109" s="21"/>
      <c r="L109" s="7"/>
      <c r="M109" s="7"/>
      <c r="N109" s="7"/>
      <c r="O109" s="7"/>
    </row>
    <row r="110" spans="1:15" ht="15.75" hidden="1" customHeight="1" x14ac:dyDescent="0.25">
      <c r="A110" s="10" t="s">
        <v>18</v>
      </c>
      <c r="B110" s="21"/>
      <c r="C110" s="72" t="s">
        <v>5</v>
      </c>
      <c r="D110" s="73"/>
      <c r="E110" s="98">
        <f>E109*PayPeriods/26*12</f>
        <v>0</v>
      </c>
      <c r="F110" s="98">
        <f>+E110</f>
        <v>0</v>
      </c>
      <c r="G110" s="98"/>
      <c r="H110" s="74"/>
      <c r="I110" s="75"/>
      <c r="J110" s="71"/>
      <c r="K110" s="21"/>
      <c r="L110" s="7"/>
      <c r="M110" s="7"/>
      <c r="N110" s="7"/>
      <c r="O110" s="7"/>
    </row>
    <row r="111" spans="1:15" ht="15.75" hidden="1" customHeight="1" x14ac:dyDescent="0.25">
      <c r="A111" s="10" t="s">
        <v>18</v>
      </c>
      <c r="B111" s="21"/>
      <c r="C111" s="72"/>
      <c r="D111" s="73"/>
      <c r="E111" s="101"/>
      <c r="F111" s="102"/>
      <c r="G111" s="102"/>
      <c r="H111" s="74"/>
      <c r="I111" s="75"/>
      <c r="J111" s="71"/>
      <c r="K111" s="21"/>
      <c r="L111" s="7"/>
      <c r="M111" s="7"/>
      <c r="N111" s="7"/>
      <c r="O111" s="7"/>
    </row>
    <row r="112" spans="1:15" ht="15.75" hidden="1" customHeight="1" x14ac:dyDescent="0.25">
      <c r="A112" s="10" t="s">
        <v>18</v>
      </c>
      <c r="B112" s="21"/>
      <c r="C112" s="68" t="s">
        <v>10</v>
      </c>
      <c r="D112" s="76"/>
      <c r="E112" s="77">
        <f>+E114+E116</f>
        <v>0</v>
      </c>
      <c r="F112" s="77" t="e">
        <f>+F114+F116</f>
        <v>#DIV/0!</v>
      </c>
      <c r="G112" s="77"/>
      <c r="H112" s="77" t="e">
        <f>+H109*EligSal</f>
        <v>#DIV/0!</v>
      </c>
      <c r="I112" s="77" t="e">
        <f>+I109*EarnSal</f>
        <v>#DIV/0!</v>
      </c>
      <c r="J112" s="71"/>
      <c r="K112" s="21"/>
      <c r="L112" s="7"/>
      <c r="M112" s="7"/>
      <c r="N112" s="7"/>
      <c r="O112" s="7"/>
    </row>
    <row r="113" spans="1:15" ht="15.75" hidden="1" customHeight="1" x14ac:dyDescent="0.25">
      <c r="A113" s="10" t="s">
        <v>18</v>
      </c>
      <c r="B113" s="21"/>
      <c r="C113" s="78" t="s">
        <v>60</v>
      </c>
      <c r="D113" s="79"/>
      <c r="E113" s="103" t="e">
        <f>+E114/EarnSal</f>
        <v>#DIV/0!</v>
      </c>
      <c r="F113" s="104" t="e">
        <f>+E113</f>
        <v>#DIV/0!</v>
      </c>
      <c r="G113" s="104"/>
      <c r="H113" s="80" t="e">
        <f>+ROUND(F113/VLOOKUP(Appt,$N$2:$P$5,3,FALSE),2)</f>
        <v>#DIV/0!</v>
      </c>
      <c r="I113" s="81" t="e">
        <f>+I114/EarnSal</f>
        <v>#DIV/0!</v>
      </c>
      <c r="J113" s="82" t="e">
        <f>+E113</f>
        <v>#DIV/0!</v>
      </c>
      <c r="K113" s="21"/>
      <c r="L113" s="7"/>
      <c r="M113" s="7"/>
      <c r="N113" s="7"/>
      <c r="O113" s="7"/>
    </row>
    <row r="114" spans="1:15" ht="15.75" hidden="1" customHeight="1" x14ac:dyDescent="0.25">
      <c r="A114" s="10" t="s">
        <v>18</v>
      </c>
      <c r="B114" s="21"/>
      <c r="C114" s="68" t="s">
        <v>4</v>
      </c>
      <c r="D114" s="76"/>
      <c r="E114" s="105">
        <f>+E109*EarnSalCap</f>
        <v>0</v>
      </c>
      <c r="F114" s="106" t="e">
        <f>+F113*EarnSal</f>
        <v>#DIV/0!</v>
      </c>
      <c r="G114" s="106"/>
      <c r="H114" s="77" t="e">
        <f>+H113*EligSal</f>
        <v>#DIV/0!</v>
      </c>
      <c r="I114" s="77" t="e">
        <f>+H114</f>
        <v>#DIV/0!</v>
      </c>
      <c r="J114" s="83"/>
      <c r="K114" s="21"/>
      <c r="L114" s="7"/>
      <c r="M114" s="7"/>
      <c r="N114" s="7"/>
      <c r="O114" s="7"/>
    </row>
    <row r="115" spans="1:15" ht="16.5" hidden="1" customHeight="1" thickBot="1" x14ac:dyDescent="0.3">
      <c r="A115" s="10" t="s">
        <v>18</v>
      </c>
      <c r="B115" s="21"/>
      <c r="C115" s="84" t="s">
        <v>14</v>
      </c>
      <c r="D115" s="85"/>
      <c r="E115" s="107" t="e">
        <f>+E116/EarnSal</f>
        <v>#DIV/0!</v>
      </c>
      <c r="F115" s="108" t="e">
        <f>IF(E69="Yes",E115,ROUNDUP(E115,2))</f>
        <v>#DIV/0!</v>
      </c>
      <c r="G115" s="108"/>
      <c r="H115" s="86" t="e">
        <f>+F115</f>
        <v>#DIV/0!</v>
      </c>
      <c r="I115" s="87" t="e">
        <f>+I116/EarnSal</f>
        <v>#DIV/0!</v>
      </c>
      <c r="J115" s="88" t="e">
        <f>+IF(I115&gt;E115,I115,E115)</f>
        <v>#DIV/0!</v>
      </c>
      <c r="K115" s="21"/>
      <c r="L115" s="7"/>
      <c r="M115" s="7"/>
      <c r="N115" s="7"/>
      <c r="O115" s="7"/>
    </row>
    <row r="116" spans="1:15" ht="17.25" hidden="1" customHeight="1" thickTop="1" thickBot="1" x14ac:dyDescent="0.3">
      <c r="A116" s="10" t="s">
        <v>18</v>
      </c>
      <c r="B116" s="21"/>
      <c r="C116" s="89" t="s">
        <v>9</v>
      </c>
      <c r="D116" s="90"/>
      <c r="E116" s="109">
        <f>IF(CapRate=0,0,E114/CapRate*(1-CapRate))</f>
        <v>0</v>
      </c>
      <c r="F116" s="110" t="e">
        <f>+F115*EarnSal</f>
        <v>#DIV/0!</v>
      </c>
      <c r="G116" s="110"/>
      <c r="H116" s="91" t="e">
        <f>+H112-H114</f>
        <v>#DIV/0!</v>
      </c>
      <c r="I116" s="92" t="e">
        <f>+I112-I114</f>
        <v>#DIV/0!</v>
      </c>
      <c r="J116" s="93"/>
      <c r="K116" s="21"/>
      <c r="L116" s="7"/>
      <c r="M116" s="7"/>
      <c r="N116" s="7"/>
      <c r="O116" s="7"/>
    </row>
    <row r="117" spans="1:15" customFormat="1" ht="15.75" hidden="1" customHeight="1" x14ac:dyDescent="0.25">
      <c r="A117" s="10" t="s">
        <v>18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27" spans="1:15" ht="15.75" x14ac:dyDescent="0.25">
      <c r="B127" s="21"/>
      <c r="C127" s="111"/>
      <c r="D127" s="111"/>
      <c r="E127" s="111"/>
      <c r="F127" s="111"/>
      <c r="G127" s="111"/>
      <c r="H127" s="111"/>
      <c r="I127" s="111"/>
      <c r="J127" s="111"/>
      <c r="K127" s="21"/>
    </row>
    <row r="128" spans="1:15" ht="15.75" x14ac:dyDescent="0.25">
      <c r="B128" s="21"/>
      <c r="C128" s="111"/>
      <c r="D128" s="111"/>
      <c r="E128" s="111"/>
      <c r="F128" s="111"/>
      <c r="G128" s="111"/>
      <c r="H128" s="111"/>
      <c r="I128" s="111"/>
      <c r="J128" s="111"/>
      <c r="K128" s="21"/>
    </row>
    <row r="129" spans="2:11" ht="15.75" x14ac:dyDescent="0.25">
      <c r="B129" s="21"/>
      <c r="C129" s="22"/>
      <c r="D129" s="23"/>
      <c r="E129" s="21"/>
      <c r="F129" s="21"/>
      <c r="G129" s="21"/>
      <c r="H129" s="21"/>
      <c r="I129" s="21"/>
      <c r="J129" s="21"/>
      <c r="K129" s="21"/>
    </row>
    <row r="130" spans="2:11" ht="15.75" x14ac:dyDescent="0.25">
      <c r="B130" s="21"/>
      <c r="C130" s="22"/>
      <c r="D130" s="23"/>
      <c r="E130" s="21"/>
      <c r="F130" s="21"/>
      <c r="G130" s="21"/>
      <c r="H130" s="21"/>
      <c r="I130" s="21"/>
      <c r="J130" s="21"/>
      <c r="K130" s="21"/>
    </row>
    <row r="131" spans="2:11" ht="15.75" x14ac:dyDescent="0.25">
      <c r="B131" s="21"/>
      <c r="C131" s="22"/>
      <c r="D131" s="23"/>
      <c r="E131" s="21"/>
      <c r="F131" s="21"/>
      <c r="G131" s="21"/>
      <c r="H131" s="21"/>
      <c r="I131" s="21"/>
      <c r="J131" s="21"/>
      <c r="K131" s="21"/>
    </row>
    <row r="132" spans="2:11" ht="15.75" x14ac:dyDescent="0.25">
      <c r="B132" s="21"/>
      <c r="C132" s="22"/>
      <c r="D132" s="23"/>
      <c r="E132" s="21"/>
      <c r="F132" s="21"/>
      <c r="G132" s="21"/>
      <c r="H132" s="21"/>
      <c r="I132" s="21"/>
      <c r="J132" s="21"/>
      <c r="K132" s="21"/>
    </row>
    <row r="133" spans="2:11" ht="15.75" x14ac:dyDescent="0.25">
      <c r="B133" s="21"/>
      <c r="C133" s="22"/>
      <c r="D133" s="23"/>
      <c r="E133" s="21"/>
      <c r="F133" s="21"/>
      <c r="G133" s="21"/>
      <c r="H133" s="21"/>
      <c r="I133" s="21"/>
      <c r="J133" s="21"/>
      <c r="K133" s="21"/>
    </row>
    <row r="134" spans="2:11" ht="15.75" x14ac:dyDescent="0.25">
      <c r="B134" s="21"/>
      <c r="C134" s="22"/>
      <c r="D134" s="23"/>
      <c r="E134" s="21"/>
      <c r="F134" s="21"/>
      <c r="G134" s="21"/>
      <c r="H134" s="21"/>
      <c r="I134" s="21"/>
      <c r="J134" s="21"/>
      <c r="K134" s="21"/>
    </row>
    <row r="135" spans="2:11" ht="15.75" x14ac:dyDescent="0.25">
      <c r="B135" s="21"/>
      <c r="C135" s="22"/>
      <c r="D135" s="23"/>
      <c r="E135" s="21"/>
      <c r="F135" s="21"/>
      <c r="G135" s="21"/>
      <c r="H135" s="21"/>
      <c r="I135" s="21"/>
      <c r="J135" s="21"/>
      <c r="K135" s="21"/>
    </row>
    <row r="136" spans="2:11" ht="15.75" x14ac:dyDescent="0.25">
      <c r="B136" s="21"/>
      <c r="C136" s="22"/>
      <c r="D136" s="23"/>
      <c r="E136" s="21"/>
      <c r="F136" s="21"/>
      <c r="G136" s="21"/>
      <c r="H136" s="21"/>
      <c r="I136" s="21"/>
      <c r="J136" s="21"/>
      <c r="K136" s="21"/>
    </row>
    <row r="137" spans="2:11" ht="15.75" x14ac:dyDescent="0.25">
      <c r="B137" s="21"/>
      <c r="C137" s="22"/>
      <c r="D137" s="23"/>
      <c r="E137" s="21"/>
      <c r="F137" s="21"/>
      <c r="G137" s="21"/>
      <c r="H137" s="21"/>
      <c r="I137" s="21"/>
      <c r="J137" s="21"/>
      <c r="K137" s="21"/>
    </row>
    <row r="138" spans="2:11" ht="15.75" x14ac:dyDescent="0.25">
      <c r="B138" s="21"/>
      <c r="C138" s="22"/>
      <c r="D138" s="23"/>
      <c r="E138" s="21"/>
      <c r="F138" s="21"/>
      <c r="G138" s="21"/>
      <c r="H138" s="21"/>
      <c r="I138" s="21"/>
      <c r="J138" s="21"/>
      <c r="K138" s="21"/>
    </row>
    <row r="139" spans="2:11" ht="15.75" x14ac:dyDescent="0.25">
      <c r="B139" s="21"/>
      <c r="C139" s="22"/>
      <c r="D139" s="23"/>
      <c r="E139" s="21"/>
      <c r="F139" s="21"/>
      <c r="G139" s="21"/>
      <c r="H139" s="21"/>
      <c r="I139" s="21"/>
      <c r="J139" s="21"/>
      <c r="K139" s="21"/>
    </row>
    <row r="140" spans="2:11" ht="15.75" x14ac:dyDescent="0.25">
      <c r="B140" s="21"/>
      <c r="C140" s="22"/>
      <c r="D140" s="23"/>
      <c r="E140" s="21"/>
      <c r="F140" s="21"/>
      <c r="G140" s="21"/>
      <c r="H140" s="21"/>
      <c r="I140" s="21"/>
      <c r="J140" s="21"/>
      <c r="K140" s="21"/>
    </row>
  </sheetData>
  <sheetProtection algorithmName="SHA-512" hashValue="cfvXkUxpJC3g0Qk9clEZD4Em+oXraiit1oSKn2uff5PhDdfmzydDVqw2BUMpjaedrWhUd5ftxM3g7+k3rD509Q==" saltValue="R90yox3/5pz6YTulOivR1g==" spinCount="100000" sheet="1" objects="1" scenarios="1"/>
  <protectedRanges>
    <protectedRange sqref="D4:D5 D7:D8 D11 D17 D25:D26 H36 H38 H40" name="Blue Cells"/>
  </protectedRanges>
  <mergeCells count="32">
    <mergeCell ref="A1:L1"/>
    <mergeCell ref="B12:E12"/>
    <mergeCell ref="F74:G74"/>
    <mergeCell ref="F76:G76"/>
    <mergeCell ref="I10:J10"/>
    <mergeCell ref="I11:J11"/>
    <mergeCell ref="I12:J12"/>
    <mergeCell ref="I14:J14"/>
    <mergeCell ref="B10:C11"/>
    <mergeCell ref="F64:J64"/>
    <mergeCell ref="F65:G65"/>
    <mergeCell ref="F66:G66"/>
    <mergeCell ref="F67:G67"/>
    <mergeCell ref="I7:K7"/>
    <mergeCell ref="D4:J4"/>
    <mergeCell ref="C93:D93"/>
    <mergeCell ref="C106:D106"/>
    <mergeCell ref="C65:D65"/>
    <mergeCell ref="F68:G68"/>
    <mergeCell ref="F69:G69"/>
    <mergeCell ref="F70:G70"/>
    <mergeCell ref="F71:G71"/>
    <mergeCell ref="F73:G73"/>
    <mergeCell ref="C80:D80"/>
    <mergeCell ref="D5:J5"/>
    <mergeCell ref="F75:G75"/>
    <mergeCell ref="F72:G72"/>
    <mergeCell ref="I8:J8"/>
    <mergeCell ref="I9:J9"/>
    <mergeCell ref="I15:K15"/>
    <mergeCell ref="I16:K18"/>
    <mergeCell ref="I13:J13"/>
  </mergeCells>
  <dataValidations count="2">
    <dataValidation type="list" allowBlank="1" showInputMessage="1" showErrorMessage="1" sqref="D11">
      <formula1>"Yes, No"</formula1>
    </dataValidation>
    <dataValidation type="list" allowBlank="1" showInputMessage="1" showErrorMessage="1" sqref="D17">
      <formula1>$K$9:$K$14</formula1>
    </dataValidation>
  </dataValidations>
  <hyperlinks>
    <hyperlink ref="I15" r:id="rId1" display="Please see "/>
    <hyperlink ref="E26" r:id="rId2"/>
  </hyperlinks>
  <printOptions horizontalCentered="1"/>
  <pageMargins left="0.5" right="0.5" top="0.5" bottom="0.5" header="0.3" footer="0"/>
  <pageSetup scale="67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Salary Cap Worksheet</vt:lpstr>
      <vt:lpstr>'Salary Cap Worksheet'!AnnualSal</vt:lpstr>
      <vt:lpstr>'Salary Cap Worksheet'!Appt</vt:lpstr>
      <vt:lpstr>'Salary Cap Worksheet'!BaseSal</vt:lpstr>
      <vt:lpstr>'Salary Cap Worksheet'!CapRate</vt:lpstr>
      <vt:lpstr>EarnSal</vt:lpstr>
      <vt:lpstr>EarnSalCap</vt:lpstr>
      <vt:lpstr>EligPersMon</vt:lpstr>
      <vt:lpstr>EligSal</vt:lpstr>
      <vt:lpstr>EligSalCap</vt:lpstr>
      <vt:lpstr>GOAL</vt:lpstr>
      <vt:lpstr>GoalAmt</vt:lpstr>
      <vt:lpstr>GoalPercEff</vt:lpstr>
      <vt:lpstr>GoalPersMon</vt:lpstr>
      <vt:lpstr>'Salary Cap Worksheet'!MonthSal</vt:lpstr>
      <vt:lpstr>PayAnnSal</vt:lpstr>
      <vt:lpstr>'Salary Cap Worksheet'!PayPeriods</vt:lpstr>
      <vt:lpstr>PaySalCap</vt:lpstr>
      <vt:lpstr>'Salary Cap Worksheet'!Print_Area</vt:lpstr>
      <vt:lpstr>'Salary Cap Worksheet'!SalaryCap</vt:lpstr>
      <vt:lpstr>SummerEff</vt:lpstr>
    </vt:vector>
  </TitlesOfParts>
  <Company>UConn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Pelletier</dc:creator>
  <cp:lastModifiedBy>Paula Engler</cp:lastModifiedBy>
  <cp:lastPrinted>2016-04-25T19:22:27Z</cp:lastPrinted>
  <dcterms:created xsi:type="dcterms:W3CDTF">2014-03-06T14:34:55Z</dcterms:created>
  <dcterms:modified xsi:type="dcterms:W3CDTF">2017-03-21T19:48:03Z</dcterms:modified>
</cp:coreProperties>
</file>